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autoCompressPictures="0"/>
  <mc:AlternateContent xmlns:mc="http://schemas.openxmlformats.org/markup-compatibility/2006">
    <mc:Choice Requires="x15">
      <x15ac:absPath xmlns:x15ac="http://schemas.microsoft.com/office/spreadsheetml/2010/11/ac" url="C:\Users\aahlgren\Desktop\"/>
    </mc:Choice>
  </mc:AlternateContent>
  <xr:revisionPtr revIDLastSave="0" documentId="8_{B9837852-90BC-4EF7-A7F7-3492F0BA13F5}"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6" l="1"/>
  <c r="C18" i="5" l="1"/>
  <c r="C5" i="5" l="1"/>
  <c r="C6" i="5"/>
  <c r="C7" i="5"/>
  <c r="B5" i="5"/>
  <c r="B6" i="5"/>
  <c r="B7" i="5"/>
  <c r="B8" i="5"/>
  <c r="B9" i="5"/>
  <c r="B10" i="5"/>
  <c r="B11" i="5"/>
  <c r="B12" i="5"/>
  <c r="B13" i="5"/>
  <c r="B14" i="5"/>
  <c r="B15" i="5"/>
  <c r="B16" i="5"/>
  <c r="B17" i="5"/>
  <c r="B18" i="5"/>
  <c r="D52" i="6" l="1"/>
  <c r="D49" i="6"/>
  <c r="D47" i="6"/>
  <c r="D44" i="6"/>
  <c r="D42" i="6"/>
  <c r="D37" i="6"/>
  <c r="D34" i="6" l="1"/>
  <c r="C20" i="5" l="1"/>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H12" i="6"/>
  <c r="G12" i="6"/>
  <c r="D12" i="6"/>
  <c r="B12" i="6"/>
  <c r="B11" i="6"/>
  <c r="G11" i="6" s="1"/>
  <c r="H11" i="6" s="1"/>
  <c r="D11" i="6" s="1"/>
  <c r="D10" i="6"/>
  <c r="B10" i="6"/>
  <c r="G10" i="6" s="1"/>
  <c r="H10" i="6" s="1"/>
  <c r="B9" i="6"/>
  <c r="G9" i="6" s="1"/>
  <c r="H9" i="6" s="1"/>
  <c r="G8" i="6"/>
  <c r="H8" i="6" s="1"/>
  <c r="D8" i="6"/>
  <c r="B8" i="6"/>
  <c r="B7" i="6"/>
  <c r="G7" i="6" s="1"/>
  <c r="H7" i="6" s="1"/>
  <c r="D7" i="6" s="1"/>
  <c r="B6" i="6"/>
  <c r="G6" i="6" s="1"/>
  <c r="B5" i="6"/>
  <c r="F6" i="6" s="1"/>
  <c r="H4" i="6"/>
  <c r="G4" i="6"/>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V37" i="5"/>
  <c r="R37" i="5" s="1"/>
  <c r="C37" i="5"/>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C27" i="5"/>
  <c r="V27" i="5" s="1"/>
  <c r="B27" i="5"/>
  <c r="C26" i="5"/>
  <c r="V26" i="5" s="1"/>
  <c r="I26" i="5" s="1"/>
  <c r="B26" i="5"/>
  <c r="T26" i="5" s="1"/>
  <c r="C25" i="5"/>
  <c r="V25" i="5" s="1"/>
  <c r="B25" i="5"/>
  <c r="C24" i="5"/>
  <c r="V24" i="5" s="1"/>
  <c r="R24" i="5" s="1"/>
  <c r="B24" i="5"/>
  <c r="C23" i="5"/>
  <c r="V23" i="5" s="1"/>
  <c r="H23" i="5" s="1"/>
  <c r="B23" i="5"/>
  <c r="S22" i="5"/>
  <c r="C22" i="5"/>
  <c r="V22" i="5" s="1"/>
  <c r="I22" i="5" s="1"/>
  <c r="B22" i="5"/>
  <c r="C21" i="5"/>
  <c r="V21" i="5" s="1"/>
  <c r="B21" i="5"/>
  <c r="V20" i="5"/>
  <c r="R20" i="5" s="1"/>
  <c r="B20" i="5"/>
  <c r="T20" i="5" s="1"/>
  <c r="C19" i="5"/>
  <c r="V19" i="5" s="1"/>
  <c r="B19" i="5"/>
  <c r="T19" i="5" s="1"/>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T44" i="5" l="1"/>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S26"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S20"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S18" i="5" s="1"/>
  <c r="G6" i="5"/>
  <c r="J5" i="5"/>
  <c r="F19" i="6"/>
  <c r="X341" i="5"/>
  <c r="X412" i="5"/>
  <c r="X304" i="5"/>
  <c r="AB23" i="5"/>
  <c r="S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T18" i="5" s="1"/>
  <c r="G20" i="5"/>
  <c r="S21" i="5"/>
  <c r="AB21" i="5"/>
  <c r="T21" i="5"/>
  <c r="S24"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2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T24" i="5"/>
  <c r="H28" i="5"/>
  <c r="S109" i="5"/>
  <c r="AB109" i="5"/>
  <c r="E117" i="5"/>
  <c r="X117" i="5" s="1"/>
  <c r="J121" i="5"/>
  <c r="I121" i="5"/>
  <c r="H121" i="5"/>
  <c r="S141" i="5"/>
  <c r="AB141" i="5"/>
  <c r="H146" i="5"/>
  <c r="F150" i="5"/>
  <c r="R150" i="5"/>
  <c r="J150" i="5"/>
  <c r="AB19" i="5"/>
  <c r="S19" i="5"/>
  <c r="E21" i="5"/>
  <c r="X21" i="5" s="1"/>
  <c r="AB27" i="5"/>
  <c r="S27" i="5"/>
  <c r="T27" i="5"/>
  <c r="E29" i="5"/>
  <c r="X29" i="5" s="1"/>
  <c r="F5" i="5"/>
  <c r="H18" i="5"/>
  <c r="F21" i="5"/>
  <c r="T22"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S25" i="5"/>
  <c r="AB25" i="5"/>
  <c r="T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X22" i="5" s="1"/>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X934"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X1224" i="5"/>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X1054"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C7" i="6" s="1"/>
  <c r="J8" i="6"/>
  <c r="C8" i="6" s="1"/>
  <c r="J9" i="6"/>
  <c r="C9" i="6" s="1"/>
  <c r="J10" i="6"/>
  <c r="C10" i="6" s="1"/>
  <c r="J11" i="6"/>
  <c r="C11" i="6" s="1"/>
  <c r="J12" i="6"/>
  <c r="C12" i="6" s="1"/>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6" i="5"/>
  <c r="T5" i="5"/>
  <c r="E2409" i="5" l="1"/>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C15" i="5"/>
  <c r="C8" i="5"/>
  <c r="C9" i="5"/>
  <c r="C10" i="5"/>
  <c r="C11" i="5"/>
  <c r="C14" i="5"/>
  <c r="C12" i="5"/>
  <c r="C13" i="5"/>
  <c r="C17" i="5"/>
  <c r="C16" i="5"/>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H27" i="6"/>
  <c r="F68" i="6"/>
  <c r="F32" i="6"/>
  <c r="F52" i="6"/>
  <c r="H52" i="6" s="1"/>
  <c r="F47" i="6"/>
  <c r="F37" i="6"/>
  <c r="H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6" i="5"/>
  <c r="S5" i="5"/>
  <c r="H46" i="6" l="1"/>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H34" i="6"/>
  <c r="C34" i="6" s="1"/>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C52" i="6"/>
  <c r="C50" i="6"/>
  <c r="C44" i="6"/>
  <c r="D31" i="6" l="1"/>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0" i="5"/>
  <c r="T12" i="5"/>
  <c r="T9" i="5"/>
  <c r="T17" i="5"/>
  <c r="T16" i="5"/>
  <c r="T14" i="5"/>
  <c r="T8" i="5"/>
  <c r="T15" i="5"/>
  <c r="T13" i="5"/>
  <c r="T11" i="5"/>
  <c r="T7" i="5"/>
  <c r="X13" i="5" l="1"/>
  <c r="X10" i="5"/>
  <c r="D65" i="6"/>
  <c r="X9" i="5"/>
  <c r="X12" i="5"/>
  <c r="X14" i="5"/>
  <c r="X17" i="5"/>
  <c r="S17" i="5"/>
  <c r="D66" i="6"/>
  <c r="C67" i="6"/>
  <c r="X11" i="5"/>
  <c r="X15" i="5"/>
  <c r="X8" i="5"/>
  <c r="X7" i="5"/>
  <c r="G69" i="6"/>
  <c r="H69" i="6" s="1"/>
  <c r="H70" i="6" s="1"/>
  <c r="D2" i="6" s="1"/>
  <c r="X16" i="5"/>
  <c r="S16" i="5"/>
  <c r="D55" i="6"/>
  <c r="C55" i="6"/>
  <c r="D56" i="6"/>
  <c r="C56" i="6"/>
  <c r="S11" i="5"/>
  <c r="S13" i="5"/>
  <c r="S8" i="5"/>
  <c r="S9" i="5"/>
  <c r="S7" i="5"/>
  <c r="S14" i="5"/>
  <c r="S10" i="5"/>
  <c r="S12" i="5"/>
  <c r="S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<sst xmlns="http://schemas.openxmlformats.org/spreadsheetml/2006/main" count="21769" uniqueCount="15506">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</sst>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48"/>
      <c r="B2" s="38" t="s">
        <v>870</v>
      </c>
      <c r="C2" s="36"/>
      <c r="D2" s="208"/>
      <c r="E2" s="3"/>
      <c r="F2" s="36"/>
      <c r="G2" s="34"/>
    </row>
    <row r="3" spans="1:7">
      <c r="A3" s="348"/>
      <c r="B3" s="5" t="s">
        <v>862</v>
      </c>
      <c r="C3" s="6"/>
      <c r="D3" s="209"/>
      <c r="E3" s="3"/>
      <c r="F3" s="6"/>
      <c r="G3" s="34"/>
    </row>
    <row r="4" spans="1:7" ht="15.75">
      <c r="A4" s="348"/>
      <c r="B4" s="41" t="s">
        <v>872</v>
      </c>
      <c r="C4" s="7"/>
      <c r="D4" s="210"/>
      <c r="E4" s="3"/>
      <c r="F4" s="7"/>
      <c r="G4" s="34"/>
    </row>
    <row r="5" spans="1:7">
      <c r="A5" s="348"/>
      <c r="B5" s="40" t="s">
        <v>1063</v>
      </c>
      <c r="C5" s="4"/>
      <c r="D5" s="211"/>
      <c r="E5" s="3"/>
      <c r="F5" s="4"/>
      <c r="G5" s="34"/>
    </row>
    <row r="6" spans="1:7">
      <c r="A6" s="348"/>
      <c r="B6" s="8"/>
      <c r="C6" s="8"/>
      <c r="D6" s="212"/>
      <c r="E6" s="8"/>
      <c r="F6" s="8"/>
      <c r="G6" s="34"/>
    </row>
    <row r="7" spans="1:7">
      <c r="A7" s="348"/>
      <c r="B7" s="8"/>
      <c r="C7" s="8"/>
      <c r="D7" s="212"/>
      <c r="E7" s="8"/>
      <c r="F7" s="8"/>
      <c r="G7" s="34"/>
    </row>
    <row r="8" spans="1:7">
      <c r="A8" s="348"/>
      <c r="B8" s="8"/>
      <c r="C8" s="8"/>
      <c r="D8" s="212"/>
      <c r="E8" s="8"/>
      <c r="F8" s="8"/>
      <c r="G8" s="34"/>
    </row>
    <row r="9" spans="1:7">
      <c r="A9" s="348"/>
      <c r="B9" s="351" t="s">
        <v>873</v>
      </c>
      <c r="C9" s="351"/>
      <c r="D9" s="351"/>
      <c r="E9" s="351"/>
      <c r="F9" s="351"/>
      <c r="G9" s="34"/>
    </row>
    <row r="10" spans="1:7" ht="27" customHeight="1">
      <c r="A10" s="348"/>
      <c r="B10" s="352" t="s">
        <v>448</v>
      </c>
      <c r="C10" s="352"/>
      <c r="D10" s="352"/>
      <c r="E10" s="352"/>
      <c r="F10" s="352"/>
      <c r="G10" s="34"/>
    </row>
    <row r="11" spans="1:7" ht="27" customHeight="1">
      <c r="A11" s="348"/>
      <c r="B11" s="353"/>
      <c r="C11" s="353"/>
      <c r="D11" s="353"/>
      <c r="E11" s="353"/>
      <c r="F11" s="353"/>
      <c r="G11" s="34"/>
    </row>
    <row r="12" spans="1:7">
      <c r="A12" s="348"/>
      <c r="B12" s="42" t="s">
        <v>871</v>
      </c>
      <c r="C12" s="43" t="s">
        <v>874</v>
      </c>
      <c r="D12" s="213" t="s">
        <v>875</v>
      </c>
      <c r="E12" s="43" t="s">
        <v>628</v>
      </c>
      <c r="F12" s="43" t="s">
        <v>629</v>
      </c>
      <c r="G12" s="34"/>
    </row>
    <row r="13" spans="1:7" ht="33.75">
      <c r="A13" s="348"/>
      <c r="B13" s="2">
        <v>1</v>
      </c>
      <c r="C13" s="37" t="s">
        <v>1111</v>
      </c>
      <c r="D13" s="39" t="s">
        <v>899</v>
      </c>
      <c r="E13" s="196" t="s">
        <v>876</v>
      </c>
      <c r="F13" s="196"/>
      <c r="G13" s="34"/>
    </row>
    <row r="14" spans="1:7" ht="33.75">
      <c r="A14" s="348"/>
      <c r="B14" s="2">
        <v>2</v>
      </c>
      <c r="C14" s="37" t="s">
        <v>1111</v>
      </c>
      <c r="D14" s="39" t="s">
        <v>1048</v>
      </c>
      <c r="E14" s="196" t="s">
        <v>540</v>
      </c>
      <c r="F14" s="196" t="s">
        <v>541</v>
      </c>
      <c r="G14" s="34"/>
    </row>
    <row r="15" spans="1:7" ht="89.1" customHeight="1">
      <c r="A15" s="348"/>
      <c r="B15" s="354">
        <v>2.0099999999999998</v>
      </c>
      <c r="C15" s="357" t="s">
        <v>1111</v>
      </c>
      <c r="D15" s="360" t="s">
        <v>2358</v>
      </c>
      <c r="E15" s="197" t="s">
        <v>630</v>
      </c>
      <c r="F15" s="197" t="s">
        <v>633</v>
      </c>
      <c r="G15" s="34"/>
    </row>
    <row r="16" spans="1:7" ht="99" customHeight="1">
      <c r="A16" s="348"/>
      <c r="B16" s="355"/>
      <c r="C16" s="358"/>
      <c r="D16" s="361"/>
      <c r="E16" s="198"/>
      <c r="F16" s="198" t="s">
        <v>631</v>
      </c>
      <c r="G16" s="34"/>
    </row>
    <row r="17" spans="1:7" ht="63" customHeight="1">
      <c r="A17" s="348"/>
      <c r="B17" s="356"/>
      <c r="C17" s="359"/>
      <c r="D17" s="362"/>
      <c r="E17" s="37"/>
      <c r="F17" s="37" t="s">
        <v>632</v>
      </c>
      <c r="G17" s="34"/>
    </row>
    <row r="18" spans="1:7" ht="117" customHeight="1">
      <c r="A18" s="348"/>
      <c r="B18" s="354">
        <v>2.02</v>
      </c>
      <c r="C18" s="357" t="s">
        <v>1111</v>
      </c>
      <c r="D18" s="360" t="s">
        <v>2359</v>
      </c>
      <c r="E18" s="197" t="s">
        <v>449</v>
      </c>
      <c r="F18" s="197" t="s">
        <v>535</v>
      </c>
      <c r="G18" s="34"/>
    </row>
    <row r="19" spans="1:7" ht="71.099999999999994" customHeight="1">
      <c r="A19" s="348"/>
      <c r="B19" s="355"/>
      <c r="C19" s="358"/>
      <c r="D19" s="361"/>
      <c r="E19" s="198" t="s">
        <v>539</v>
      </c>
      <c r="F19" s="198" t="s">
        <v>450</v>
      </c>
      <c r="G19" s="34"/>
    </row>
    <row r="20" spans="1:7" ht="90.75" customHeight="1">
      <c r="A20" s="348"/>
      <c r="B20" s="355"/>
      <c r="C20" s="358"/>
      <c r="D20" s="361"/>
      <c r="E20" s="198"/>
      <c r="F20" s="198" t="s">
        <v>635</v>
      </c>
      <c r="G20" s="34"/>
    </row>
    <row r="21" spans="1:7" ht="74.25" customHeight="1">
      <c r="A21" s="348"/>
      <c r="B21" s="356"/>
      <c r="C21" s="359"/>
      <c r="D21" s="362"/>
      <c r="E21" s="37"/>
      <c r="F21" s="37" t="s">
        <v>634</v>
      </c>
      <c r="G21" s="34"/>
    </row>
    <row r="22" spans="1:7" ht="90" customHeight="1">
      <c r="A22" s="348"/>
      <c r="B22" s="366">
        <v>2.0299999999999998</v>
      </c>
      <c r="C22" s="366" t="s">
        <v>845</v>
      </c>
      <c r="D22" s="369" t="s">
        <v>2360</v>
      </c>
      <c r="E22" s="357" t="s">
        <v>447</v>
      </c>
      <c r="F22" s="197" t="s">
        <v>470</v>
      </c>
      <c r="G22" s="34"/>
    </row>
    <row r="23" spans="1:7" ht="109.5" customHeight="1">
      <c r="A23" s="348"/>
      <c r="B23" s="367"/>
      <c r="C23" s="367"/>
      <c r="D23" s="370"/>
      <c r="E23" s="358"/>
      <c r="F23" s="198" t="s">
        <v>846</v>
      </c>
      <c r="G23" s="34"/>
    </row>
    <row r="24" spans="1:7" ht="74.25" customHeight="1">
      <c r="A24" s="348"/>
      <c r="B24" s="368"/>
      <c r="C24" s="368"/>
      <c r="D24" s="371"/>
      <c r="E24" s="359"/>
      <c r="F24" s="37" t="s">
        <v>446</v>
      </c>
      <c r="G24" s="34"/>
    </row>
    <row r="25" spans="1:7" ht="72" customHeight="1">
      <c r="A25" s="348"/>
      <c r="B25" s="2" t="s">
        <v>468</v>
      </c>
      <c r="C25" s="37" t="s">
        <v>469</v>
      </c>
      <c r="D25" s="39" t="s">
        <v>2361</v>
      </c>
      <c r="E25" s="37" t="s">
        <v>2356</v>
      </c>
      <c r="F25" s="37" t="s">
        <v>471</v>
      </c>
      <c r="G25" s="34"/>
    </row>
    <row r="26" spans="1:7" ht="98.1" customHeight="1">
      <c r="A26" s="348"/>
      <c r="B26" s="363">
        <v>3</v>
      </c>
      <c r="C26" s="354" t="s">
        <v>72</v>
      </c>
      <c r="D26" s="360" t="s">
        <v>2362</v>
      </c>
      <c r="E26" s="357" t="s">
        <v>0</v>
      </c>
      <c r="F26" s="197" t="s">
        <v>66</v>
      </c>
      <c r="G26" s="34"/>
    </row>
    <row r="27" spans="1:7" ht="90" customHeight="1">
      <c r="A27" s="348"/>
      <c r="B27" s="364"/>
      <c r="C27" s="355"/>
      <c r="D27" s="361"/>
      <c r="E27" s="358"/>
      <c r="F27" s="198" t="s">
        <v>61</v>
      </c>
      <c r="G27" s="34"/>
    </row>
    <row r="28" spans="1:7" ht="19.350000000000001" customHeight="1">
      <c r="A28" s="348"/>
      <c r="B28" s="364"/>
      <c r="C28" s="355"/>
      <c r="D28" s="361"/>
      <c r="E28" s="358"/>
      <c r="F28" s="198" t="s">
        <v>62</v>
      </c>
      <c r="G28" s="34"/>
    </row>
    <row r="29" spans="1:7" ht="74.45" customHeight="1">
      <c r="A29" s="348"/>
      <c r="B29" s="364"/>
      <c r="C29" s="355"/>
      <c r="D29" s="361"/>
      <c r="E29" s="358"/>
      <c r="F29" s="198" t="s">
        <v>63</v>
      </c>
      <c r="G29" s="34"/>
    </row>
    <row r="30" spans="1:7" ht="62.45" customHeight="1">
      <c r="A30" s="348"/>
      <c r="B30" s="364"/>
      <c r="C30" s="355"/>
      <c r="D30" s="361"/>
      <c r="E30" s="358"/>
      <c r="F30" s="198" t="s">
        <v>64</v>
      </c>
      <c r="G30" s="34"/>
    </row>
    <row r="31" spans="1:7" ht="81" customHeight="1">
      <c r="A31" s="348"/>
      <c r="B31" s="364"/>
      <c r="C31" s="355"/>
      <c r="D31" s="361"/>
      <c r="E31" s="358"/>
      <c r="F31" s="198" t="s">
        <v>65</v>
      </c>
      <c r="G31" s="34"/>
    </row>
    <row r="32" spans="1:7" ht="48.75" customHeight="1">
      <c r="A32" s="348"/>
      <c r="B32" s="364"/>
      <c r="C32" s="355"/>
      <c r="D32" s="361"/>
      <c r="E32" s="358"/>
      <c r="F32" s="198" t="s">
        <v>68</v>
      </c>
      <c r="G32" s="34"/>
    </row>
    <row r="33" spans="1:7" ht="98.45" customHeight="1">
      <c r="A33" s="348"/>
      <c r="B33" s="364"/>
      <c r="C33" s="355"/>
      <c r="D33" s="361"/>
      <c r="E33" s="358"/>
      <c r="F33" s="198" t="s">
        <v>67</v>
      </c>
      <c r="G33" s="34"/>
    </row>
    <row r="34" spans="1:7" ht="89.1" customHeight="1">
      <c r="A34" s="348"/>
      <c r="B34" s="364"/>
      <c r="C34" s="355"/>
      <c r="D34" s="361"/>
      <c r="E34" s="358"/>
      <c r="F34" s="198" t="s">
        <v>69</v>
      </c>
      <c r="G34" s="34"/>
    </row>
    <row r="35" spans="1:7" ht="29.1" customHeight="1">
      <c r="A35" s="348"/>
      <c r="B35" s="364"/>
      <c r="C35" s="355"/>
      <c r="D35" s="361"/>
      <c r="E35" s="358"/>
      <c r="F35" s="198" t="s">
        <v>70</v>
      </c>
      <c r="G35" s="34"/>
    </row>
    <row r="36" spans="1:7" ht="126.75">
      <c r="A36" s="348"/>
      <c r="B36" s="365"/>
      <c r="C36" s="356"/>
      <c r="D36" s="362"/>
      <c r="E36" s="359"/>
      <c r="F36" s="199" t="s">
        <v>71</v>
      </c>
      <c r="G36" s="34"/>
    </row>
    <row r="37" spans="1:7" ht="112.5">
      <c r="A37" s="348"/>
      <c r="B37" s="171">
        <v>3.01</v>
      </c>
      <c r="C37" s="172" t="s">
        <v>72</v>
      </c>
      <c r="D37" s="39" t="s">
        <v>2363</v>
      </c>
      <c r="E37" s="200" t="s">
        <v>1351</v>
      </c>
      <c r="F37" s="201" t="s">
        <v>1457</v>
      </c>
      <c r="G37" s="34"/>
    </row>
    <row r="38" spans="1:7" ht="101.25">
      <c r="A38" s="348"/>
      <c r="B38" s="171">
        <v>3.02</v>
      </c>
      <c r="C38" s="172" t="s">
        <v>1384</v>
      </c>
      <c r="D38" s="39" t="s">
        <v>2364</v>
      </c>
      <c r="E38" s="200" t="s">
        <v>1399</v>
      </c>
      <c r="F38" s="201" t="s">
        <v>1458</v>
      </c>
      <c r="G38" s="34"/>
    </row>
    <row r="39" spans="1:7" ht="101.25">
      <c r="A39" s="348"/>
      <c r="B39" s="182">
        <v>4</v>
      </c>
      <c r="C39" s="181" t="s">
        <v>1554</v>
      </c>
      <c r="D39" s="39" t="s">
        <v>2365</v>
      </c>
      <c r="E39" s="37" t="s">
        <v>2307</v>
      </c>
      <c r="F39" s="37" t="s">
        <v>1555</v>
      </c>
      <c r="G39" s="34"/>
    </row>
    <row r="40" spans="1:7" ht="56.25">
      <c r="A40" s="348"/>
      <c r="B40" s="171">
        <v>4.01</v>
      </c>
      <c r="C40" s="181" t="s">
        <v>1554</v>
      </c>
      <c r="D40" s="39" t="s">
        <v>2367</v>
      </c>
      <c r="E40" s="37" t="s">
        <v>2321</v>
      </c>
      <c r="F40" s="37" t="s">
        <v>2326</v>
      </c>
      <c r="G40" s="34"/>
    </row>
    <row r="41" spans="1:7" ht="56.25">
      <c r="A41" s="348"/>
      <c r="B41" s="171" t="s">
        <v>2354</v>
      </c>
      <c r="C41" s="181" t="s">
        <v>1554</v>
      </c>
      <c r="D41" s="39" t="s">
        <v>2366</v>
      </c>
      <c r="E41" s="37" t="s">
        <v>2357</v>
      </c>
      <c r="F41" s="37" t="s">
        <v>2355</v>
      </c>
      <c r="G41" s="34"/>
    </row>
    <row r="42" spans="1:7" ht="56.25">
      <c r="A42" s="348"/>
      <c r="B42" s="171" t="s">
        <v>2399</v>
      </c>
      <c r="C42" s="181" t="s">
        <v>1554</v>
      </c>
      <c r="D42" s="39" t="s">
        <v>2406</v>
      </c>
      <c r="E42" s="37" t="s">
        <v>2356</v>
      </c>
      <c r="F42" s="37" t="s">
        <v>2400</v>
      </c>
      <c r="G42" s="34"/>
    </row>
    <row r="43" spans="1:7" ht="123.75">
      <c r="A43" s="348"/>
      <c r="B43" s="193">
        <v>4.0999999999999996</v>
      </c>
      <c r="C43" s="181" t="s">
        <v>2405</v>
      </c>
      <c r="D43" s="194">
        <v>42867</v>
      </c>
      <c r="E43" s="202" t="s">
        <v>2408</v>
      </c>
      <c r="F43" s="37" t="s">
        <v>2407</v>
      </c>
      <c r="G43" s="34"/>
    </row>
    <row r="44" spans="1:7" ht="78.75">
      <c r="A44" s="348"/>
      <c r="B44" s="193">
        <v>4.2</v>
      </c>
      <c r="C44" s="181" t="s">
        <v>2405</v>
      </c>
      <c r="D44" s="194">
        <v>42704</v>
      </c>
      <c r="E44" s="202" t="s">
        <v>2625</v>
      </c>
      <c r="F44" s="37" t="s">
        <v>2598</v>
      </c>
      <c r="G44" s="34"/>
    </row>
    <row r="45" spans="1:7" ht="157.5">
      <c r="A45" s="348"/>
      <c r="B45" s="243">
        <v>5</v>
      </c>
      <c r="C45" s="181" t="s">
        <v>2405</v>
      </c>
      <c r="D45" s="194">
        <v>42867</v>
      </c>
      <c r="E45" s="202" t="s">
        <v>13032</v>
      </c>
      <c r="F45" s="37" t="s">
        <v>12754</v>
      </c>
      <c r="G45" s="34"/>
    </row>
    <row r="46" spans="1:7" ht="45">
      <c r="A46" s="348"/>
      <c r="B46" s="193">
        <v>5.01</v>
      </c>
      <c r="C46" s="181" t="s">
        <v>2405</v>
      </c>
      <c r="D46" s="194">
        <v>42907</v>
      </c>
      <c r="E46" s="202" t="s">
        <v>13052</v>
      </c>
      <c r="F46" s="37" t="s">
        <v>12754</v>
      </c>
      <c r="G46" s="34"/>
    </row>
    <row r="47" spans="1:7" ht="67.5">
      <c r="A47" s="348"/>
      <c r="B47" s="193">
        <v>5.0999999999999996</v>
      </c>
      <c r="C47" s="181" t="s">
        <v>2405</v>
      </c>
      <c r="D47" s="194">
        <v>43070</v>
      </c>
      <c r="E47" s="202" t="s">
        <v>13247</v>
      </c>
      <c r="F47" s="37" t="s">
        <v>13248</v>
      </c>
      <c r="G47" s="34"/>
    </row>
    <row r="48" spans="1:7" ht="56.25">
      <c r="A48" s="348"/>
      <c r="B48" s="193">
        <v>5.1100000000000003</v>
      </c>
      <c r="C48" s="181" t="s">
        <v>13489</v>
      </c>
      <c r="D48" s="194">
        <v>43217</v>
      </c>
      <c r="E48" s="202" t="s">
        <v>13617</v>
      </c>
      <c r="F48" s="37" t="s">
        <v>13523</v>
      </c>
      <c r="G48" s="34"/>
    </row>
    <row r="49" spans="1:7" ht="56.25">
      <c r="A49" s="348"/>
      <c r="B49" s="193">
        <v>5.12</v>
      </c>
      <c r="C49" s="181" t="s">
        <v>13489</v>
      </c>
      <c r="D49" s="194">
        <v>43581</v>
      </c>
      <c r="E49" s="202" t="s">
        <v>13617</v>
      </c>
      <c r="F49" s="37" t="s">
        <v>14191</v>
      </c>
      <c r="G49" s="34"/>
    </row>
    <row r="50" spans="1:7" ht="78.75">
      <c r="A50" s="348"/>
      <c r="B50" s="243">
        <v>6</v>
      </c>
      <c r="C50" s="181" t="s">
        <v>13489</v>
      </c>
      <c r="D50" s="194">
        <v>43964</v>
      </c>
      <c r="E50" s="202" t="s">
        <v>14433</v>
      </c>
      <c r="F50" s="37" t="s">
        <v>14204</v>
      </c>
      <c r="G50" s="34"/>
    </row>
    <row r="51" spans="1:7" ht="45">
      <c r="A51" s="348"/>
      <c r="B51" s="193">
        <v>6.01</v>
      </c>
      <c r="C51" s="181" t="s">
        <v>13489</v>
      </c>
      <c r="D51" s="194">
        <v>43970</v>
      </c>
      <c r="E51" s="202" t="s">
        <v>15503</v>
      </c>
      <c r="F51" s="202" t="s">
        <v>14204</v>
      </c>
      <c r="G51" s="34"/>
    </row>
    <row r="52" spans="1:7" ht="13.5" thickBot="1">
      <c r="A52" s="349"/>
      <c r="B52" s="350" t="str">
        <f ca="1">OFFSET(L!$C$1,MATCH("General"&amp;"Cpy",L!$A:$A,0)-1,SL,,)</f>
        <v>© 2020 Responsible Minerals Initiative. All rights reserved.</v>
      </c>
      <c r="C52" s="350"/>
      <c r="D52" s="350"/>
      <c r="E52" s="350"/>
      <c r="F52" s="350"/>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3.95"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8" sqref="B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15505</v>
      </c>
      <c r="K3" s="47"/>
      <c r="L3" s="139"/>
      <c r="M3" s="130"/>
      <c r="N3" s="130"/>
      <c r="O3" s="131"/>
      <c r="P3" s="144">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5"/>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9" t="str">
        <f ca="1">OFFSET(L!$C$1,MATCH("Declaration"&amp;ADDRESS(ROW(),COLUMN(),4)&amp;LEFT($D$9,1),L!$A:$A,0)-1,SL,,)</f>
        <v>Description of Scope:</v>
      </c>
      <c r="C10" s="151"/>
      <c r="D10" s="410"/>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1"/>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1"/>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c r="E38" s="379"/>
      <c r="F38" s="58"/>
      <c r="G38" s="380"/>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c r="E39" s="379"/>
      <c r="F39" s="58"/>
      <c r="G39" s="380"/>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c r="E40" s="379"/>
      <c r="F40" s="58"/>
      <c r="G40" s="380"/>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c r="E41" s="379"/>
      <c r="F41" s="58"/>
      <c r="G41" s="380"/>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c r="E44" s="379"/>
      <c r="F44" s="58"/>
      <c r="G44" s="380"/>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c r="E45" s="379"/>
      <c r="F45" s="58"/>
      <c r="G45" s="380"/>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c r="E46" s="379"/>
      <c r="F46" s="58"/>
      <c r="G46" s="380"/>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c r="E47" s="379"/>
      <c r="F47" s="58"/>
      <c r="G47" s="380"/>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c r="E58" s="384"/>
      <c r="F58" s="58"/>
      <c r="G58" s="380"/>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3"/>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5"/>
      <c r="E62" s="396"/>
      <c r="F62" s="58"/>
      <c r="G62" s="380"/>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c r="E63" s="379"/>
      <c r="F63" s="58"/>
      <c r="G63" s="380"/>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c r="E64" s="379"/>
      <c r="F64" s="58"/>
      <c r="G64" s="380"/>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c r="E65" s="379"/>
      <c r="F65" s="58"/>
      <c r="G65" s="380"/>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8" t="str">
        <f ca="1">OFFSET(L!$C$1,MATCH("Declaration"&amp;ADDRESS(ROW(),COLUMN(),4),L!$A:$A,0)-1,SL,,)</f>
        <v>Answer the Following Questions at a Company Level</v>
      </c>
      <c r="C73" s="438"/>
      <c r="D73" s="438"/>
      <c r="E73" s="438"/>
      <c r="F73" s="438"/>
      <c r="G73" s="438"/>
      <c r="H73" s="438"/>
      <c r="I73" s="438"/>
      <c r="J73" s="43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c r="E77" s="379"/>
      <c r="F77" s="68"/>
      <c r="G77" s="397"/>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5"/>
      <c r="E85" s="436"/>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7"/>
      <c r="H88" s="437"/>
      <c r="I88" s="437"/>
      <c r="J88" s="437"/>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A5" sqref="A5"/>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9" t="str">
        <f ca="1">OFFSET(L!$C$1,MATCH("Smelter List"&amp;ADDRESS(ROW(),COLUMN(),4),L!$A:$A,0)-1,SL,,)</f>
        <v>Link to "RMAP Conformant Smelter List"</v>
      </c>
      <c r="K2" s="440"/>
      <c r="L2" s="440"/>
      <c r="M2" s="440"/>
      <c r="N2" s="440"/>
      <c r="O2" s="440"/>
      <c r="P2" s="234"/>
      <c r="Q2" s="235"/>
      <c r="R2" s="236"/>
      <c r="S2" s="236"/>
      <c r="T2" s="236"/>
      <c r="U2" s="267"/>
      <c r="V2" s="267"/>
      <c r="W2" s="268"/>
      <c r="X2" s="267"/>
      <c r="Y2" s="267"/>
      <c r="Z2" s="267"/>
      <c r="AH2" s="176" t="s">
        <v>498</v>
      </c>
    </row>
    <row r="3" spans="1:34" s="269" customFormat="1" ht="243.95" customHeight="1">
      <c r="A3" s="204"/>
      <c r="B3" s="44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1"/>
      <c r="D3" s="441"/>
      <c r="E3" s="441"/>
      <c r="F3" s="270"/>
      <c r="G3" s="442" t="str">
        <f ca="1">OFFSET(L!$C$1,MATCH("General"&amp;"Cpy",L!$A:$A,0)-1,SL,,)</f>
        <v>© 2020 Responsible Minerals Initiative. All rights reserved.</v>
      </c>
      <c r="H3" s="442"/>
      <c r="I3" s="443"/>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32"/>
      <c r="B5" s="217" t="str">
        <f>IF(LEN(A5)=0,"",INDEX('Smelter Look-up'!$A:$A,MATCH($A5,'Smelter Look-up'!$E:$E,0)))</f>
        <v/>
      </c>
      <c r="C5" s="221" t="str">
        <f>IF(LEN(A5)=0,"",INDEX('Smelter Look-up'!$C:$C,MATCH($A5,'Smelter Look-up'!$E:$E,0)))</f>
        <v/>
      </c>
      <c r="D5" s="283"/>
      <c r="E5" s="217" t="str">
        <f ca="1">IF(ISERROR($V5),"",OFFSET('Smelter Look-up'!$D$4,$V5-4,0)&amp;"")</f>
        <v/>
      </c>
      <c r="F5" s="217" t="str">
        <f ca="1">IF(ISERROR($V5),"",OFFSET('Smelter Look-up'!$E$4,$V5-4,0))</f>
        <v/>
      </c>
      <c r="G5" s="217" t="str">
        <f ca="1">IF(C5=$X$4,"Enter smelter details",IF(ISERROR($V5),"",OFFSET('Smelter Look-up'!$F$4,$V5-4,0)))</f>
        <v/>
      </c>
      <c r="H5" s="218" t="str">
        <f ca="1">IF(ISERROR($V5),"",OFFSET('Smelter Look-up'!$G$4,$V5-4,0))</f>
        <v/>
      </c>
      <c r="I5" s="219" t="str">
        <f ca="1">IF(ISERROR($V5),"",OFFSET('Smelter Look-up'!$H$4,$V5-4,0))</f>
        <v/>
      </c>
      <c r="J5" s="219" t="str">
        <f ca="1">IF(ISERROR($V5),"",OFFSET('Smelter Look-up'!$I$4,$V5-4,0))</f>
        <v/>
      </c>
      <c r="K5" s="273"/>
      <c r="L5" s="273"/>
      <c r="M5" s="273"/>
      <c r="N5" s="273"/>
      <c r="O5" s="273"/>
      <c r="P5" s="220"/>
      <c r="Q5" s="274"/>
      <c r="R5" s="217" t="str">
        <f ca="1">IF(ISERROR($V5),"",OFFSET('Smelter Look-up'!$C$4,$V5-4,0)&amp;"")</f>
        <v/>
      </c>
      <c r="S5" s="225" t="str">
        <f t="shared" ref="S5" ca="1" si="0">IF(B5="","",IF(ISERROR(MATCH($E5,CL,0)),"Unknown",INDIRECT("'C'!$A$"&amp;MATCH($E5,CL,0)+1)))</f>
        <v/>
      </c>
      <c r="T5" s="225" t="str">
        <f ca="1">IF(B5="","",IF(ISERROR(MATCH($J5,SorP!$B$1:$B$6230,0)),"",INDIRECT("'SorP'!$A$"&amp;MATCH($J5,SorP!$B$1:$B$6230,0))))</f>
        <v/>
      </c>
      <c r="U5" s="241"/>
      <c r="V5" s="275" t="e">
        <f>IF(C5="",NA(),MATCH($B5&amp;$C5,'Smelter Look-up'!$J:$J,0))</f>
        <v>#N/A</v>
      </c>
      <c r="W5" s="276"/>
      <c r="X5" s="276">
        <f t="shared" ref="X5" ca="1" si="1">IF(AND(C5="Smelter not listed",OR(LEN(D5)=0,LEN(E5)=0)),1,0)</f>
        <v>0</v>
      </c>
      <c r="Y5" s="276"/>
      <c r="Z5" s="276"/>
      <c r="AB5" s="278" t="str">
        <f t="shared" ref="AB5" si="2">B5&amp;C5</f>
        <v/>
      </c>
    </row>
    <row r="6" spans="1:34" s="277" customFormat="1" ht="20.100000000000001" customHeight="1">
      <c r="A6" s="332"/>
      <c r="B6" s="217" t="str">
        <f>IF(LEN(A6)=0,"",INDEX('Smelter Look-up'!$A:$A,MATCH($A6,'Smelter Look-up'!$E:$E,0)))</f>
        <v/>
      </c>
      <c r="C6" s="221" t="str">
        <f>IF(LEN(A6)=0,"",INDEX('Smelter Look-up'!$C:$C,MATCH($A6,'Smelter Look-up'!$E:$E,0)))</f>
        <v/>
      </c>
      <c r="D6" s="283"/>
      <c r="E6" s="217" t="str">
        <f ca="1">IF(ISERROR($V6),"",OFFSET('Smelter Look-up'!$D$4,$V6-4,0)&amp;"")</f>
        <v/>
      </c>
      <c r="F6" s="217" t="str">
        <f ca="1">IF(ISERROR($V6),"",OFFSET('Smelter Look-up'!$E$4,$V6-4,0))</f>
        <v/>
      </c>
      <c r="G6" s="217" t="str">
        <f ca="1">IF(C6=$X$4,"Enter smelter details",IF(ISERROR($V6),"",OFFSET('Smelter Look-up'!$F$4,$V6-4,0)))</f>
        <v/>
      </c>
      <c r="H6" s="218" t="str">
        <f ca="1">IF(ISERROR($V6),"",OFFSET('Smelter Look-up'!$G$4,$V6-4,0))</f>
        <v/>
      </c>
      <c r="I6" s="219" t="str">
        <f ca="1">IF(ISERROR($V6),"",OFFSET('Smelter Look-up'!$H$4,$V6-4,0))</f>
        <v/>
      </c>
      <c r="J6" s="219" t="str">
        <f ca="1">IF(ISERROR($V6),"",OFFSET('Smelter Look-up'!$I$4,$V6-4,0))</f>
        <v/>
      </c>
      <c r="K6" s="273"/>
      <c r="L6" s="273"/>
      <c r="M6" s="273"/>
      <c r="N6" s="273"/>
      <c r="O6" s="273"/>
      <c r="P6" s="220"/>
      <c r="Q6" s="274"/>
      <c r="R6" s="217" t="str">
        <f ca="1">IF(ISERROR($V6),"",OFFSET('Smelter Look-up'!$C$4,$V6-4,0)&amp;"")</f>
        <v/>
      </c>
      <c r="S6" s="225" t="str">
        <f t="shared" ref="S6:S37" ca="1" si="3">IF(B6="","",IF(ISERROR(MATCH($E6,CL,0)),"Unknown",INDIRECT("'C'!$A$"&amp;MATCH($E6,CL,0)+1)))</f>
        <v/>
      </c>
      <c r="T6" s="225" t="str">
        <f ca="1">IF(B6="","",IF(ISERROR(MATCH($J6,SorP!$B$1:$B$6230,0)),"",INDIRECT("'SorP'!$A$"&amp;MATCH($J6,SorP!$B$1:$B$6230,0))))</f>
        <v/>
      </c>
      <c r="U6" s="241"/>
      <c r="V6" s="275" t="e">
        <f>IF(C6="",NA(),MATCH($B6&amp;$C6,'Smelter Look-up'!$J:$J,0))</f>
        <v>#N/A</v>
      </c>
      <c r="W6" s="276"/>
      <c r="X6" s="276">
        <f t="shared" ref="X6:X37" ca="1" si="4">IF(AND(C6="Smelter not listed",OR(LEN(D6)=0,LEN(E6)=0)),1,0)</f>
        <v>0</v>
      </c>
      <c r="Y6" s="276"/>
      <c r="Z6" s="276"/>
      <c r="AB6" s="278" t="str">
        <f t="shared" ref="AB6:AB37" si="5">B6&amp;C6</f>
        <v/>
      </c>
    </row>
    <row r="7" spans="1:34" s="277" customFormat="1" ht="20.100000000000001" customHeight="1">
      <c r="A7" s="332"/>
      <c r="B7" s="217" t="str">
        <f>IF(LEN(A7)=0,"",INDEX('Smelter Look-up'!$A:$A,MATCH($A7,'Smelter Look-up'!$E:$E,0)))</f>
        <v/>
      </c>
      <c r="C7" s="221" t="str">
        <f>IF(LEN(A7)=0,"",INDEX('Smelter Look-up'!$C:$C,MATCH($A7,'Smelter Look-up'!$E:$E,0)))</f>
        <v/>
      </c>
      <c r="D7" s="283"/>
      <c r="E7" s="217" t="str">
        <f ca="1">IF(ISERROR($V7),"",OFFSET('Smelter Look-up'!$D$4,$V7-4,0)&amp;"")</f>
        <v/>
      </c>
      <c r="F7" s="217" t="str">
        <f ca="1">IF(ISERROR($V7),"",OFFSET('Smelter Look-up'!$E$4,$V7-4,0))</f>
        <v/>
      </c>
      <c r="G7" s="217" t="str">
        <f ca="1">IF(C7=$X$4,"Enter smelter details",IF(ISERROR($V7),"",OFFSET('Smelter Look-up'!$F$4,$V7-4,0)))</f>
        <v/>
      </c>
      <c r="H7" s="218" t="str">
        <f ca="1">IF(ISERROR($V7),"",OFFSET('Smelter Look-up'!$G$4,$V7-4,0))</f>
        <v/>
      </c>
      <c r="I7" s="219" t="str">
        <f ca="1">IF(ISERROR($V7),"",OFFSET('Smelter Look-up'!$H$4,$V7-4,0))</f>
        <v/>
      </c>
      <c r="J7" s="219" t="str">
        <f ca="1">IF(ISERROR($V7),"",OFFSET('Smelter Look-up'!$I$4,$V7-4,0))</f>
        <v/>
      </c>
      <c r="K7" s="273"/>
      <c r="L7" s="273"/>
      <c r="M7" s="273"/>
      <c r="N7" s="273"/>
      <c r="O7" s="273"/>
      <c r="P7" s="220"/>
      <c r="Q7" s="274"/>
      <c r="R7" s="217" t="str">
        <f ca="1">IF(ISERROR($V7),"",OFFSET('Smelter Look-up'!$C$4,$V7-4,0)&amp;"")</f>
        <v/>
      </c>
      <c r="S7" s="225" t="str">
        <f t="shared" ca="1" si="3"/>
        <v/>
      </c>
      <c r="T7" s="225" t="str">
        <f ca="1">IF(B7="","",IF(ISERROR(MATCH($J7,SorP!$B$1:$B$6230,0)),"",INDIRECT("'SorP'!$A$"&amp;MATCH($J7,SorP!$B$1:$B$6230,0))))</f>
        <v/>
      </c>
      <c r="U7" s="241"/>
      <c r="V7" s="275" t="e">
        <f>IF(C7="",NA(),MATCH($B7&amp;$C7,'Smelter Look-up'!$J:$J,0))</f>
        <v>#N/A</v>
      </c>
      <c r="W7" s="276"/>
      <c r="X7" s="276">
        <f t="shared" ca="1" si="4"/>
        <v>0</v>
      </c>
      <c r="Y7" s="276"/>
      <c r="Z7" s="276"/>
      <c r="AB7" s="278" t="str">
        <f t="shared" si="5"/>
        <v/>
      </c>
    </row>
    <row r="8" spans="1:34" s="277" customFormat="1" ht="20.100000000000001" customHeight="1">
      <c r="A8" s="332"/>
      <c r="B8" s="217" t="str">
        <f>IF(LEN(A8)=0,"",INDEX('Smelter Look-up'!$A:$A,MATCH($A8,'Smelter Look-up'!$E:$E,0)))</f>
        <v/>
      </c>
      <c r="C8" s="221" t="str">
        <f>IF(LEN(A8)=0,"",INDEX('Smelter Look-up'!$C:$C,MATCH($A8,'Smelter Look-up'!$E:$E,0)))</f>
        <v/>
      </c>
      <c r="D8" s="283"/>
      <c r="E8" s="217" t="str">
        <f ca="1">IF(ISERROR($V8),"",OFFSET('Smelter Look-up'!$D$4,$V8-4,0)&amp;"")</f>
        <v/>
      </c>
      <c r="F8" s="217" t="str">
        <f ca="1">IF(ISERROR($V8),"",OFFSET('Smelter Look-up'!$E$4,$V8-4,0))</f>
        <v/>
      </c>
      <c r="G8" s="217" t="str">
        <f ca="1">IF(C8=$X$4,"Enter smelter details",IF(ISERROR($V8),"",OFFSET('Smelter Look-up'!$F$4,$V8-4,0)))</f>
        <v/>
      </c>
      <c r="H8" s="218" t="str">
        <f ca="1">IF(ISERROR($V8),"",OFFSET('Smelter Look-up'!$G$4,$V8-4,0))</f>
        <v/>
      </c>
      <c r="I8" s="219" t="str">
        <f ca="1">IF(ISERROR($V8),"",OFFSET('Smelter Look-up'!$H$4,$V8-4,0))</f>
        <v/>
      </c>
      <c r="J8" s="219" t="str">
        <f ca="1">IF(ISERROR($V8),"",OFFSET('Smelter Look-up'!$I$4,$V8-4,0))</f>
        <v/>
      </c>
      <c r="K8" s="273"/>
      <c r="L8" s="273"/>
      <c r="M8" s="273"/>
      <c r="N8" s="273"/>
      <c r="O8" s="273"/>
      <c r="P8" s="220"/>
      <c r="Q8" s="274"/>
      <c r="R8" s="217" t="str">
        <f ca="1">IF(ISERROR($V8),"",OFFSET('Smelter Look-up'!$C$4,$V8-4,0)&amp;"")</f>
        <v/>
      </c>
      <c r="S8" s="225" t="str">
        <f t="shared" ca="1" si="3"/>
        <v/>
      </c>
      <c r="T8" s="225" t="str">
        <f ca="1">IF(B8="","",IF(ISERROR(MATCH($J8,SorP!$B$1:$B$6230,0)),"",INDIRECT("'SorP'!$A$"&amp;MATCH($J8,SorP!$B$1:$B$6230,0))))</f>
        <v/>
      </c>
      <c r="U8" s="241"/>
      <c r="V8" s="275" t="e">
        <f>IF(C8="",NA(),MATCH($B8&amp;$C8,'Smelter Look-up'!$J:$J,0))</f>
        <v>#N/A</v>
      </c>
      <c r="W8" s="276"/>
      <c r="X8" s="276">
        <f t="shared" ca="1" si="4"/>
        <v>0</v>
      </c>
      <c r="Y8" s="276"/>
      <c r="Z8" s="276"/>
      <c r="AB8" s="278" t="str">
        <f t="shared" si="5"/>
        <v/>
      </c>
    </row>
    <row r="9" spans="1:34" s="277" customFormat="1" ht="20.100000000000001" customHeight="1">
      <c r="A9" s="332"/>
      <c r="B9" s="217" t="str">
        <f>IF(LEN(A9)=0,"",INDEX('Smelter Look-up'!$A:$A,MATCH($A9,'Smelter Look-up'!$E:$E,0)))</f>
        <v/>
      </c>
      <c r="C9" s="221" t="str">
        <f>IF(LEN(A9)=0,"",INDEX('Smelter Look-up'!$C:$C,MATCH($A9,'Smelter Look-up'!$E:$E,0)))</f>
        <v/>
      </c>
      <c r="D9" s="283"/>
      <c r="E9" s="217" t="str">
        <f ca="1">IF(ISERROR($V9),"",OFFSET('Smelter Look-up'!$D$4,$V9-4,0)&amp;"")</f>
        <v/>
      </c>
      <c r="F9" s="217" t="str">
        <f ca="1">IF(ISERROR($V9),"",OFFSET('Smelter Look-up'!$E$4,$V9-4,0))</f>
        <v/>
      </c>
      <c r="G9" s="217" t="str">
        <f ca="1">IF(C9=$X$4,"Enter smelter details",IF(ISERROR($V9),"",OFFSET('Smelter Look-up'!$F$4,$V9-4,0)))</f>
        <v/>
      </c>
      <c r="H9" s="218" t="str">
        <f ca="1">IF(ISERROR($V9),"",OFFSET('Smelter Look-up'!$G$4,$V9-4,0))</f>
        <v/>
      </c>
      <c r="I9" s="219" t="str">
        <f ca="1">IF(ISERROR($V9),"",OFFSET('Smelter Look-up'!$H$4,$V9-4,0))</f>
        <v/>
      </c>
      <c r="J9" s="219" t="str">
        <f ca="1">IF(ISERROR($V9),"",OFFSET('Smelter Look-up'!$I$4,$V9-4,0))</f>
        <v/>
      </c>
      <c r="K9" s="273"/>
      <c r="L9" s="273"/>
      <c r="M9" s="273"/>
      <c r="N9" s="273"/>
      <c r="O9" s="273"/>
      <c r="P9" s="220"/>
      <c r="Q9" s="274"/>
      <c r="R9" s="217" t="str">
        <f ca="1">IF(ISERROR($V9),"",OFFSET('Smelter Look-up'!$C$4,$V9-4,0)&amp;"")</f>
        <v/>
      </c>
      <c r="S9" s="225" t="str">
        <f t="shared" ca="1" si="3"/>
        <v/>
      </c>
      <c r="T9" s="225" t="str">
        <f ca="1">IF(B9="","",IF(ISERROR(MATCH($J9,SorP!$B$1:$B$6230,0)),"",INDIRECT("'SorP'!$A$"&amp;MATCH($J9,SorP!$B$1:$B$6230,0))))</f>
        <v/>
      </c>
      <c r="U9" s="241"/>
      <c r="V9" s="275" t="e">
        <f>IF(C9="",NA(),MATCH($B9&amp;$C9,'Smelter Look-up'!$J:$J,0))</f>
        <v>#N/A</v>
      </c>
      <c r="W9" s="276"/>
      <c r="X9" s="276">
        <f t="shared" ca="1" si="4"/>
        <v>0</v>
      </c>
      <c r="Y9" s="276"/>
      <c r="Z9" s="276"/>
      <c r="AB9" s="278" t="str">
        <f t="shared" si="5"/>
        <v/>
      </c>
    </row>
    <row r="10" spans="1:34" s="277" customFormat="1" ht="20.100000000000001" customHeight="1">
      <c r="A10" s="332"/>
      <c r="B10" s="217" t="str">
        <f>IF(LEN(A10)=0,"",INDEX('Smelter Look-up'!$A:$A,MATCH($A10,'Smelter Look-up'!$E:$E,0)))</f>
        <v/>
      </c>
      <c r="C10" s="221" t="str">
        <f>IF(LEN(A10)=0,"",INDEX('Smelter Look-up'!$C:$C,MATCH($A10,'Smelter Look-up'!$E:$E,0)))</f>
        <v/>
      </c>
      <c r="D10" s="283"/>
      <c r="E10" s="217" t="str">
        <f ca="1">IF(ISERROR($V10),"",OFFSET('Smelter Look-up'!$D$4,$V10-4,0)&amp;"")</f>
        <v/>
      </c>
      <c r="F10" s="217" t="str">
        <f ca="1">IF(ISERROR($V10),"",OFFSET('Smelter Look-up'!$E$4,$V10-4,0))</f>
        <v/>
      </c>
      <c r="G10" s="217" t="str">
        <f ca="1">IF(C10=$X$4,"Enter smelter details",IF(ISERROR($V10),"",OFFSET('Smelter Look-up'!$F$4,$V10-4,0)))</f>
        <v/>
      </c>
      <c r="H10" s="218" t="str">
        <f ca="1">IF(ISERROR($V10),"",OFFSET('Smelter Look-up'!$G$4,$V10-4,0))</f>
        <v/>
      </c>
      <c r="I10" s="219" t="str">
        <f ca="1">IF(ISERROR($V10),"",OFFSET('Smelter Look-up'!$H$4,$V10-4,0))</f>
        <v/>
      </c>
      <c r="J10" s="219" t="str">
        <f ca="1">IF(ISERROR($V10),"",OFFSET('Smelter Look-up'!$I$4,$V10-4,0))</f>
        <v/>
      </c>
      <c r="K10" s="273"/>
      <c r="L10" s="273"/>
      <c r="M10" s="273"/>
      <c r="N10" s="273"/>
      <c r="O10" s="273"/>
      <c r="P10" s="220"/>
      <c r="Q10" s="274"/>
      <c r="R10" s="217" t="str">
        <f ca="1">IF(ISERROR($V10),"",OFFSET('Smelter Look-up'!$C$4,$V10-4,0)&amp;"")</f>
        <v/>
      </c>
      <c r="S10" s="225" t="str">
        <f t="shared" ca="1" si="3"/>
        <v/>
      </c>
      <c r="T10" s="225" t="str">
        <f ca="1">IF(B10="","",IF(ISERROR(MATCH($J10,SorP!$B$1:$B$6230,0)),"",INDIRECT("'SorP'!$A$"&amp;MATCH($J10,SorP!$B$1:$B$6230,0))))</f>
        <v/>
      </c>
      <c r="U10" s="241"/>
      <c r="V10" s="275" t="e">
        <f>IF(C10="",NA(),MATCH($B10&amp;$C10,'Smelter Look-up'!$J:$J,0))</f>
        <v>#N/A</v>
      </c>
      <c r="W10" s="276"/>
      <c r="X10" s="276">
        <f t="shared" ca="1" si="4"/>
        <v>0</v>
      </c>
      <c r="Y10" s="276"/>
      <c r="Z10" s="276"/>
      <c r="AB10" s="278" t="str">
        <f t="shared" si="5"/>
        <v/>
      </c>
    </row>
    <row r="11" spans="1:34" s="277" customFormat="1" ht="20.100000000000001" customHeight="1">
      <c r="A11" s="332"/>
      <c r="B11" s="217" t="str">
        <f>IF(LEN(A11)=0,"",INDEX('Smelter Look-up'!$A:$A,MATCH($A11,'Smelter Look-up'!$E:$E,0)))</f>
        <v/>
      </c>
      <c r="C11" s="221" t="str">
        <f>IF(LEN(A11)=0,"",INDEX('Smelter Look-up'!$C:$C,MATCH($A11,'Smelter Look-up'!$E:$E,0)))</f>
        <v/>
      </c>
      <c r="D11" s="283"/>
      <c r="E11" s="217" t="str">
        <f ca="1">IF(ISERROR($V11),"",OFFSET('Smelter Look-up'!$D$4,$V11-4,0)&amp;"")</f>
        <v/>
      </c>
      <c r="F11" s="217" t="str">
        <f ca="1">IF(ISERROR($V11),"",OFFSET('Smelter Look-up'!$E$4,$V11-4,0))</f>
        <v/>
      </c>
      <c r="G11" s="217" t="str">
        <f ca="1">IF(C11=$X$4,"Enter smelter details",IF(ISERROR($V11),"",OFFSET('Smelter Look-up'!$F$4,$V11-4,0)))</f>
        <v/>
      </c>
      <c r="H11" s="218" t="str">
        <f ca="1">IF(ISERROR($V11),"",OFFSET('Smelter Look-up'!$G$4,$V11-4,0))</f>
        <v/>
      </c>
      <c r="I11" s="219" t="str">
        <f ca="1">IF(ISERROR($V11),"",OFFSET('Smelter Look-up'!$H$4,$V11-4,0))</f>
        <v/>
      </c>
      <c r="J11" s="219" t="str">
        <f ca="1">IF(ISERROR($V11),"",OFFSET('Smelter Look-up'!$I$4,$V11-4,0))</f>
        <v/>
      </c>
      <c r="K11" s="273"/>
      <c r="L11" s="273"/>
      <c r="M11" s="273"/>
      <c r="N11" s="273"/>
      <c r="O11" s="273"/>
      <c r="P11" s="220"/>
      <c r="Q11" s="274"/>
      <c r="R11" s="217" t="str">
        <f ca="1">IF(ISERROR($V11),"",OFFSET('Smelter Look-up'!$C$4,$V11-4,0)&amp;"")</f>
        <v/>
      </c>
      <c r="S11" s="225" t="str">
        <f t="shared" ca="1" si="3"/>
        <v/>
      </c>
      <c r="T11" s="225" t="str">
        <f ca="1">IF(B11="","",IF(ISERROR(MATCH($J11,SorP!$B$1:$B$6230,0)),"",INDIRECT("'SorP'!$A$"&amp;MATCH($J11,SorP!$B$1:$B$6230,0))))</f>
        <v/>
      </c>
      <c r="U11" s="241"/>
      <c r="V11" s="275" t="e">
        <f>IF(C11="",NA(),MATCH($B11&amp;$C11,'Smelter Look-up'!$J:$J,0))</f>
        <v>#N/A</v>
      </c>
      <c r="W11" s="276"/>
      <c r="X11" s="276">
        <f t="shared" ca="1" si="4"/>
        <v>0</v>
      </c>
      <c r="Y11" s="276"/>
      <c r="Z11" s="276"/>
      <c r="AB11" s="278" t="str">
        <f t="shared" si="5"/>
        <v/>
      </c>
    </row>
    <row r="12" spans="1:34" s="277" customFormat="1" ht="20.100000000000001" customHeight="1">
      <c r="A12" s="332"/>
      <c r="B12" s="217" t="str">
        <f>IF(LEN(A12)=0,"",INDEX('Smelter Look-up'!$A:$A,MATCH($A12,'Smelter Look-up'!$E:$E,0)))</f>
        <v/>
      </c>
      <c r="C12" s="221" t="str">
        <f>IF(LEN(A12)=0,"",INDEX('Smelter Look-up'!$C:$C,MATCH($A12,'Smelter Look-up'!$E:$E,0)))</f>
        <v/>
      </c>
      <c r="D12" s="283"/>
      <c r="E12" s="217" t="str">
        <f ca="1">IF(ISERROR($V12),"",OFFSET('Smelter Look-up'!$D$4,$V12-4,0)&amp;"")</f>
        <v/>
      </c>
      <c r="F12" s="217" t="str">
        <f ca="1">IF(ISERROR($V12),"",OFFSET('Smelter Look-up'!$E$4,$V12-4,0))</f>
        <v/>
      </c>
      <c r="G12" s="217" t="str">
        <f ca="1">IF(C12=$X$4,"Enter smelter details",IF(ISERROR($V12),"",OFFSET('Smelter Look-up'!$F$4,$V12-4,0)))</f>
        <v/>
      </c>
      <c r="H12" s="218" t="str">
        <f ca="1">IF(ISERROR($V12),"",OFFSET('Smelter Look-up'!$G$4,$V12-4,0))</f>
        <v/>
      </c>
      <c r="I12" s="219" t="str">
        <f ca="1">IF(ISERROR($V12),"",OFFSET('Smelter Look-up'!$H$4,$V12-4,0))</f>
        <v/>
      </c>
      <c r="J12" s="219" t="str">
        <f ca="1">IF(ISERROR($V12),"",OFFSET('Smelter Look-up'!$I$4,$V12-4,0))</f>
        <v/>
      </c>
      <c r="K12" s="273"/>
      <c r="L12" s="273"/>
      <c r="M12" s="273"/>
      <c r="N12" s="273"/>
      <c r="O12" s="273"/>
      <c r="P12" s="220"/>
      <c r="Q12" s="274"/>
      <c r="R12" s="217" t="str">
        <f ca="1">IF(ISERROR($V12),"",OFFSET('Smelter Look-up'!$C$4,$V12-4,0)&amp;"")</f>
        <v/>
      </c>
      <c r="S12" s="225" t="str">
        <f t="shared" ca="1" si="3"/>
        <v/>
      </c>
      <c r="T12" s="225" t="str">
        <f ca="1">IF(B12="","",IF(ISERROR(MATCH($J12,SorP!$B$1:$B$6230,0)),"",INDIRECT("'SorP'!$A$"&amp;MATCH($J12,SorP!$B$1:$B$6230,0))))</f>
        <v/>
      </c>
      <c r="U12" s="241"/>
      <c r="V12" s="275" t="e">
        <f>IF(C12="",NA(),MATCH($B12&amp;$C12,'Smelter Look-up'!$J:$J,0))</f>
        <v>#N/A</v>
      </c>
      <c r="W12" s="276"/>
      <c r="X12" s="276">
        <f t="shared" ca="1" si="4"/>
        <v>0</v>
      </c>
      <c r="Y12" s="276"/>
      <c r="Z12" s="276"/>
      <c r="AB12" s="278" t="str">
        <f t="shared" si="5"/>
        <v/>
      </c>
    </row>
    <row r="13" spans="1:34" s="277" customFormat="1" ht="20.100000000000001" customHeight="1">
      <c r="A13" s="332"/>
      <c r="B13" s="217" t="str">
        <f>IF(LEN(A13)=0,"",INDEX('Smelter Look-up'!$A:$A,MATCH($A13,'Smelter Look-up'!$E:$E,0)))</f>
        <v/>
      </c>
      <c r="C13" s="221" t="str">
        <f>IF(LEN(A13)=0,"",INDEX('Smelter Look-up'!$C:$C,MATCH($A13,'Smelter Look-up'!$E:$E,0)))</f>
        <v/>
      </c>
      <c r="D13" s="283"/>
      <c r="E13" s="217" t="str">
        <f ca="1">IF(ISERROR($V13),"",OFFSET('Smelter Look-up'!$D$4,$V13-4,0)&amp;"")</f>
        <v/>
      </c>
      <c r="F13" s="217" t="str">
        <f ca="1">IF(ISERROR($V13),"",OFFSET('Smelter Look-up'!$E$4,$V13-4,0))</f>
        <v/>
      </c>
      <c r="G13" s="217" t="str">
        <f ca="1">IF(C13=$X$4,"Enter smelter details",IF(ISERROR($V13),"",OFFSET('Smelter Look-up'!$F$4,$V13-4,0)))</f>
        <v/>
      </c>
      <c r="H13" s="218" t="str">
        <f ca="1">IF(ISERROR($V13),"",OFFSET('Smelter Look-up'!$G$4,$V13-4,0))</f>
        <v/>
      </c>
      <c r="I13" s="219" t="str">
        <f ca="1">IF(ISERROR($V13),"",OFFSET('Smelter Look-up'!$H$4,$V13-4,0))</f>
        <v/>
      </c>
      <c r="J13" s="219" t="str">
        <f ca="1">IF(ISERROR($V13),"",OFFSET('Smelter Look-up'!$I$4,$V13-4,0))</f>
        <v/>
      </c>
      <c r="K13" s="273"/>
      <c r="L13" s="273"/>
      <c r="M13" s="273"/>
      <c r="N13" s="273"/>
      <c r="O13" s="273"/>
      <c r="P13" s="220"/>
      <c r="Q13" s="274"/>
      <c r="R13" s="217" t="str">
        <f ca="1">IF(ISERROR($V13),"",OFFSET('Smelter Look-up'!$C$4,$V13-4,0)&amp;"")</f>
        <v/>
      </c>
      <c r="S13" s="225" t="str">
        <f t="shared" ca="1" si="3"/>
        <v/>
      </c>
      <c r="T13" s="225" t="str">
        <f ca="1">IF(B13="","",IF(ISERROR(MATCH($J13,SorP!$B$1:$B$6230,0)),"",INDIRECT("'SorP'!$A$"&amp;MATCH($J13,SorP!$B$1:$B$6230,0))))</f>
        <v/>
      </c>
      <c r="U13" s="241"/>
      <c r="V13" s="275" t="e">
        <f>IF(C13="",NA(),MATCH($B13&amp;$C13,'Smelter Look-up'!$J:$J,0))</f>
        <v>#N/A</v>
      </c>
      <c r="W13" s="276"/>
      <c r="X13" s="276">
        <f t="shared" ca="1" si="4"/>
        <v>0</v>
      </c>
      <c r="Y13" s="276"/>
      <c r="Z13" s="276"/>
      <c r="AB13" s="278" t="str">
        <f t="shared" si="5"/>
        <v/>
      </c>
    </row>
    <row r="14" spans="1:34" s="277" customFormat="1" ht="20.100000000000001" customHeight="1">
      <c r="A14" s="332"/>
      <c r="B14" s="217" t="str">
        <f>IF(LEN(A14)=0,"",INDEX('Smelter Look-up'!$A:$A,MATCH($A14,'Smelter Look-up'!$E:$E,0)))</f>
        <v/>
      </c>
      <c r="C14" s="221" t="str">
        <f>IF(LEN(A14)=0,"",INDEX('Smelter Look-up'!$C:$C,MATCH($A14,'Smelter Look-up'!$E:$E,0)))</f>
        <v/>
      </c>
      <c r="D14" s="283"/>
      <c r="E14" s="217" t="str">
        <f ca="1">IF(ISERROR($V14),"",OFFSET('Smelter Look-up'!$D$4,$V14-4,0)&amp;"")</f>
        <v/>
      </c>
      <c r="F14" s="217" t="str">
        <f ca="1">IF(ISERROR($V14),"",OFFSET('Smelter Look-up'!$E$4,$V14-4,0))</f>
        <v/>
      </c>
      <c r="G14" s="217" t="str">
        <f ca="1">IF(C14=$X$4,"Enter smelter details",IF(ISERROR($V14),"",OFFSET('Smelter Look-up'!$F$4,$V14-4,0)))</f>
        <v/>
      </c>
      <c r="H14" s="218" t="str">
        <f ca="1">IF(ISERROR($V14),"",OFFSET('Smelter Look-up'!$G$4,$V14-4,0))</f>
        <v/>
      </c>
      <c r="I14" s="219" t="str">
        <f ca="1">IF(ISERROR($V14),"",OFFSET('Smelter Look-up'!$H$4,$V14-4,0))</f>
        <v/>
      </c>
      <c r="J14" s="219" t="str">
        <f ca="1">IF(ISERROR($V14),"",OFFSET('Smelter Look-up'!$I$4,$V14-4,0))</f>
        <v/>
      </c>
      <c r="K14" s="273"/>
      <c r="L14" s="273"/>
      <c r="M14" s="273"/>
      <c r="N14" s="273"/>
      <c r="O14" s="273"/>
      <c r="P14" s="220"/>
      <c r="Q14" s="274"/>
      <c r="R14" s="217" t="str">
        <f ca="1">IF(ISERROR($V14),"",OFFSET('Smelter Look-up'!$C$4,$V14-4,0)&amp;"")</f>
        <v/>
      </c>
      <c r="S14" s="225" t="str">
        <f t="shared" ca="1" si="3"/>
        <v/>
      </c>
      <c r="T14" s="225" t="str">
        <f ca="1">IF(B14="","",IF(ISERROR(MATCH($J14,SorP!$B$1:$B$6230,0)),"",INDIRECT("'SorP'!$A$"&amp;MATCH($J14,SorP!$B$1:$B$6230,0))))</f>
        <v/>
      </c>
      <c r="U14" s="241"/>
      <c r="V14" s="275" t="e">
        <f>IF(C14="",NA(),MATCH($B14&amp;$C14,'Smelter Look-up'!$J:$J,0))</f>
        <v>#N/A</v>
      </c>
      <c r="W14" s="276"/>
      <c r="X14" s="276">
        <f t="shared" ca="1" si="4"/>
        <v>0</v>
      </c>
      <c r="Y14" s="276"/>
      <c r="Z14" s="276"/>
      <c r="AB14" s="278" t="str">
        <f t="shared" si="5"/>
        <v/>
      </c>
    </row>
    <row r="15" spans="1:34" s="277" customFormat="1" ht="20.100000000000001" customHeight="1">
      <c r="A15" s="332"/>
      <c r="B15" s="217" t="str">
        <f>IF(LEN(A15)=0,"",INDEX('Smelter Look-up'!$A:$A,MATCH($A15,'Smelter Look-up'!$E:$E,0)))</f>
        <v/>
      </c>
      <c r="C15" s="221" t="str">
        <f>IF(LEN(A15)=0,"",INDEX('Smelter Look-up'!$C:$C,MATCH($A15,'Smelter Look-up'!$E:$E,0)))</f>
        <v/>
      </c>
      <c r="D15" s="283"/>
      <c r="E15" s="217" t="str">
        <f ca="1">IF(ISERROR($V15),"",OFFSET('Smelter Look-up'!$D$4,$V15-4,0)&amp;"")</f>
        <v/>
      </c>
      <c r="F15" s="217" t="str">
        <f ca="1">IF(ISERROR($V15),"",OFFSET('Smelter Look-up'!$E$4,$V15-4,0))</f>
        <v/>
      </c>
      <c r="G15" s="217" t="str">
        <f ca="1">IF(C15=$X$4,"Enter smelter details",IF(ISERROR($V15),"",OFFSET('Smelter Look-up'!$F$4,$V15-4,0)))</f>
        <v/>
      </c>
      <c r="H15" s="218" t="str">
        <f ca="1">IF(ISERROR($V15),"",OFFSET('Smelter Look-up'!$G$4,$V15-4,0))</f>
        <v/>
      </c>
      <c r="I15" s="219" t="str">
        <f ca="1">IF(ISERROR($V15),"",OFFSET('Smelter Look-up'!$H$4,$V15-4,0))</f>
        <v/>
      </c>
      <c r="J15" s="219" t="str">
        <f ca="1">IF(ISERROR($V15),"",OFFSET('Smelter Look-up'!$I$4,$V15-4,0))</f>
        <v/>
      </c>
      <c r="K15" s="273"/>
      <c r="L15" s="273"/>
      <c r="M15" s="273"/>
      <c r="N15" s="273"/>
      <c r="O15" s="273"/>
      <c r="P15" s="220"/>
      <c r="Q15" s="274"/>
      <c r="R15" s="217" t="str">
        <f ca="1">IF(ISERROR($V15),"",OFFSET('Smelter Look-up'!$C$4,$V15-4,0)&amp;"")</f>
        <v/>
      </c>
      <c r="S15" s="225" t="str">
        <f t="shared" ca="1" si="3"/>
        <v/>
      </c>
      <c r="T15" s="225" t="str">
        <f ca="1">IF(B15="","",IF(ISERROR(MATCH($J15,SorP!$B$1:$B$6230,0)),"",INDIRECT("'SorP'!$A$"&amp;MATCH($J15,SorP!$B$1:$B$6230,0))))</f>
        <v/>
      </c>
      <c r="U15" s="241"/>
      <c r="V15" s="275" t="e">
        <f>IF(C15="",NA(),MATCH($B15&amp;$C15,'Smelter Look-up'!$J:$J,0))</f>
        <v>#N/A</v>
      </c>
      <c r="W15" s="276"/>
      <c r="X15" s="276">
        <f t="shared" ca="1" si="4"/>
        <v>0</v>
      </c>
      <c r="Y15" s="276"/>
      <c r="Z15" s="276"/>
      <c r="AB15" s="278" t="str">
        <f t="shared" si="5"/>
        <v/>
      </c>
    </row>
    <row r="16" spans="1:34" s="277" customFormat="1" ht="20.100000000000001" customHeight="1">
      <c r="A16" s="332"/>
      <c r="B16" s="217" t="str">
        <f>IF(LEN(A16)=0,"",INDEX('Smelter Look-up'!$A:$A,MATCH($A16,'Smelter Look-up'!$E:$E,0)))</f>
        <v/>
      </c>
      <c r="C16" s="221" t="str">
        <f>IF(LEN(A16)=0,"",INDEX('Smelter Look-up'!$C:$C,MATCH($A16,'Smelter Look-up'!$E:$E,0)))</f>
        <v/>
      </c>
      <c r="D16" s="283"/>
      <c r="E16" s="217" t="str">
        <f ca="1">IF(ISERROR($V16),"",OFFSET('Smelter Look-up'!$D$4,$V16-4,0)&amp;"")</f>
        <v/>
      </c>
      <c r="F16" s="217" t="str">
        <f ca="1">IF(ISERROR($V16),"",OFFSET('Smelter Look-up'!$E$4,$V16-4,0))</f>
        <v/>
      </c>
      <c r="G16" s="217" t="str">
        <f ca="1">IF(C16=$X$4,"Enter smelter details",IF(ISERROR($V16),"",OFFSET('Smelter Look-up'!$F$4,$V16-4,0)))</f>
        <v/>
      </c>
      <c r="H16" s="218" t="str">
        <f ca="1">IF(ISERROR($V16),"",OFFSET('Smelter Look-up'!$G$4,$V16-4,0))</f>
        <v/>
      </c>
      <c r="I16" s="219" t="str">
        <f ca="1">IF(ISERROR($V16),"",OFFSET('Smelter Look-up'!$H$4,$V16-4,0))</f>
        <v/>
      </c>
      <c r="J16" s="219" t="str">
        <f ca="1">IF(ISERROR($V16),"",OFFSET('Smelter Look-up'!$I$4,$V16-4,0))</f>
        <v/>
      </c>
      <c r="K16" s="273"/>
      <c r="L16" s="273"/>
      <c r="M16" s="273"/>
      <c r="N16" s="273"/>
      <c r="O16" s="273"/>
      <c r="P16" s="220"/>
      <c r="Q16" s="274"/>
      <c r="R16" s="217" t="str">
        <f ca="1">IF(ISERROR($V16),"",OFFSET('Smelter Look-up'!$C$4,$V16-4,0)&amp;"")</f>
        <v/>
      </c>
      <c r="S16" s="225" t="str">
        <f t="shared" ca="1" si="3"/>
        <v/>
      </c>
      <c r="T16" s="225" t="str">
        <f ca="1">IF(B16="","",IF(ISERROR(MATCH($J16,SorP!$B$1:$B$6230,0)),"",INDIRECT("'SorP'!$A$"&amp;MATCH($J16,SorP!$B$1:$B$6230,0))))</f>
        <v/>
      </c>
      <c r="U16" s="241"/>
      <c r="V16" s="275" t="e">
        <f>IF(C16="",NA(),MATCH($B16&amp;$C16,'Smelter Look-up'!$J:$J,0))</f>
        <v>#N/A</v>
      </c>
      <c r="W16" s="276"/>
      <c r="X16" s="276">
        <f t="shared" ca="1" si="4"/>
        <v>0</v>
      </c>
      <c r="Y16" s="276"/>
      <c r="Z16" s="276"/>
      <c r="AB16" s="278" t="str">
        <f t="shared" si="5"/>
        <v/>
      </c>
    </row>
    <row r="17" spans="1:28" s="277" customFormat="1" ht="20.100000000000001" customHeight="1">
      <c r="A17" s="332"/>
      <c r="B17" s="217" t="str">
        <f>IF(LEN(A17)=0,"",INDEX('Smelter Look-up'!$A:$A,MATCH($A17,'Smelter Look-up'!$E:$E,0)))</f>
        <v/>
      </c>
      <c r="C17" s="221" t="str">
        <f>IF(LEN(A17)=0,"",INDEX('Smelter Look-up'!$C:$C,MATCH($A17,'Smelter Look-up'!$E:$E,0)))</f>
        <v/>
      </c>
      <c r="D17" s="283"/>
      <c r="E17" s="217" t="str">
        <f ca="1">IF(ISERROR($V17),"",OFFSET('Smelter Look-up'!$D$4,$V17-4,0)&amp;"")</f>
        <v/>
      </c>
      <c r="F17" s="217" t="str">
        <f ca="1">IF(ISERROR($V17),"",OFFSET('Smelter Look-up'!$E$4,$V17-4,0))</f>
        <v/>
      </c>
      <c r="G17" s="217" t="str">
        <f ca="1">IF(C17=$X$4,"Enter smelter details",IF(ISERROR($V17),"",OFFSET('Smelter Look-up'!$F$4,$V17-4,0)))</f>
        <v/>
      </c>
      <c r="H17" s="218" t="str">
        <f ca="1">IF(ISERROR($V17),"",OFFSET('Smelter Look-up'!$G$4,$V17-4,0))</f>
        <v/>
      </c>
      <c r="I17" s="219" t="str">
        <f ca="1">IF(ISERROR($V17),"",OFFSET('Smelter Look-up'!$H$4,$V17-4,0))</f>
        <v/>
      </c>
      <c r="J17" s="219" t="str">
        <f ca="1">IF(ISERROR($V17),"",OFFSET('Smelter Look-up'!$I$4,$V17-4,0))</f>
        <v/>
      </c>
      <c r="K17" s="273"/>
      <c r="L17" s="273"/>
      <c r="M17" s="273"/>
      <c r="N17" s="273"/>
      <c r="O17" s="273"/>
      <c r="P17" s="220"/>
      <c r="Q17" s="274"/>
      <c r="R17" s="217" t="str">
        <f ca="1">IF(ISERROR($V17),"",OFFSET('Smelter Look-up'!$C$4,$V17-4,0)&amp;"")</f>
        <v/>
      </c>
      <c r="S17" s="225" t="str">
        <f t="shared" ca="1" si="3"/>
        <v/>
      </c>
      <c r="T17" s="225" t="str">
        <f ca="1">IF(B17="","",IF(ISERROR(MATCH($J17,SorP!$B$1:$B$6230,0)),"",INDIRECT("'SorP'!$A$"&amp;MATCH($J17,SorP!$B$1:$B$6230,0))))</f>
        <v/>
      </c>
      <c r="U17" s="241"/>
      <c r="V17" s="275" t="e">
        <f>IF(C17="",NA(),MATCH($B17&amp;$C17,'Smelter Look-up'!$J:$J,0))</f>
        <v>#N/A</v>
      </c>
      <c r="W17" s="276"/>
      <c r="X17" s="276">
        <f t="shared" ca="1" si="4"/>
        <v>0</v>
      </c>
      <c r="Y17" s="276"/>
      <c r="Z17" s="276"/>
      <c r="AB17" s="278" t="str">
        <f t="shared" si="5"/>
        <v/>
      </c>
    </row>
    <row r="18" spans="1:28" s="277" customFormat="1" ht="20.100000000000001" customHeight="1">
      <c r="A18" s="216"/>
      <c r="B18" s="217" t="str">
        <f>IF(LEN(A18)=0,"",INDEX('Smelter Look-up'!$A:$A,MATCH($A18,'Smelter Look-up'!$E:$E,0)))</f>
        <v/>
      </c>
      <c r="C18" s="221" t="str">
        <f>IF(LEN(A18)=0,"",INDEX('Smelter Look-up'!$C:$C,MATCH($A18,'Smelter Look-up'!$E:$E,0)))</f>
        <v/>
      </c>
      <c r="D18" s="283"/>
      <c r="E18" s="217" t="str">
        <f ca="1">IF(ISERROR($V18),"",OFFSET('Smelter Look-up'!$D$4,$V18-4,0)&amp;"")</f>
        <v/>
      </c>
      <c r="F18" s="217" t="str">
        <f ca="1">IF(ISERROR($V18),"",OFFSET('Smelter Look-up'!$E$4,$V18-4,0))</f>
        <v/>
      </c>
      <c r="G18" s="217" t="str">
        <f ca="1">IF(C18=$X$4,"Enter smelter details",IF(ISERROR($V18),"",OFFSET('Smelter Look-up'!$F$4,$V18-4,0)))</f>
        <v/>
      </c>
      <c r="H18" s="218" t="str">
        <f ca="1">IF(ISERROR($V18),"",OFFSET('Smelter Look-up'!$G$4,$V18-4,0))</f>
        <v/>
      </c>
      <c r="I18" s="219" t="str">
        <f ca="1">IF(ISERROR($V18),"",OFFSET('Smelter Look-up'!$H$4,$V18-4,0))</f>
        <v/>
      </c>
      <c r="J18" s="219" t="str">
        <f ca="1">IF(ISERROR($V18),"",OFFSET('Smelter Look-up'!$I$4,$V18-4,0))</f>
        <v/>
      </c>
      <c r="K18" s="273"/>
      <c r="L18" s="273"/>
      <c r="M18" s="273"/>
      <c r="N18" s="273"/>
      <c r="O18" s="273"/>
      <c r="P18" s="220"/>
      <c r="Q18" s="274"/>
      <c r="R18" s="217" t="str">
        <f ca="1">IF(ISERROR($V18),"",OFFSET('Smelter Look-up'!$C$4,$V18-4,0)&amp;"")</f>
        <v/>
      </c>
      <c r="S18" s="225" t="str">
        <f t="shared" ca="1" si="3"/>
        <v/>
      </c>
      <c r="T18" s="225" t="str">
        <f ca="1">IF(B18="","",IF(ISERROR(MATCH($J18,SorP!$B$1:$B$6230,0)),"",INDIRECT("'SorP'!$A$"&amp;MATCH($J18,SorP!$B$1:$B$6230,0))))</f>
        <v/>
      </c>
      <c r="U18" s="241"/>
      <c r="V18" s="275" t="e">
        <f>IF(C18="",NA(),MATCH($B18&amp;$C18,'Smelter Look-up'!$J:$J,0))</f>
        <v>#N/A</v>
      </c>
      <c r="W18" s="276"/>
      <c r="X18" s="276">
        <f t="shared" ca="1" si="4"/>
        <v>0</v>
      </c>
      <c r="Y18" s="276"/>
      <c r="Z18" s="276"/>
      <c r="AB18" s="278" t="str">
        <f t="shared" si="5"/>
        <v/>
      </c>
    </row>
    <row r="19" spans="1:28" s="277" customFormat="1" ht="20.25">
      <c r="A19" s="216"/>
      <c r="B19" s="217" t="str">
        <f>IF(LEN(A19)=0,"",INDEX('Smelter Look-up'!$A:$A,MATCH($A19,'Smelter Look-up'!$E:$E,0)))</f>
        <v/>
      </c>
      <c r="C19" s="221" t="str">
        <f>IF(LEN(A19)=0,"",INDEX('Smelter Look-up'!$C:$C,MATCH($A19,'Smelter Look-up'!$E:$E,0)))</f>
        <v/>
      </c>
      <c r="D19" s="283"/>
      <c r="E19" s="217" t="str">
        <f ca="1">IF(ISERROR($V19),"",OFFSET('Smelter Look-up'!$D$4,$V19-4,0)&amp;"")</f>
        <v/>
      </c>
      <c r="F19" s="217" t="str">
        <f ca="1">IF(ISERROR($V19),"",OFFSET('Smelter Look-up'!$E$4,$V19-4,0))</f>
        <v/>
      </c>
      <c r="G19" s="217" t="str">
        <f ca="1">IF(C19=$X$4,"Enter smelter details",IF(ISERROR($V19),"",OFFSET('Smelter Look-up'!$F$4,$V19-4,0)))</f>
        <v/>
      </c>
      <c r="H19" s="218" t="str">
        <f ca="1">IF(ISERROR($V19),"",OFFSET('Smelter Look-up'!$G$4,$V19-4,0))</f>
        <v/>
      </c>
      <c r="I19" s="219" t="str">
        <f ca="1">IF(ISERROR($V19),"",OFFSET('Smelter Look-up'!$H$4,$V19-4,0))</f>
        <v/>
      </c>
      <c r="J19" s="219" t="str">
        <f ca="1">IF(ISERROR($V19),"",OFFSET('Smelter Look-up'!$I$4,$V19-4,0))</f>
        <v/>
      </c>
      <c r="K19" s="273"/>
      <c r="L19" s="273"/>
      <c r="M19" s="273"/>
      <c r="N19" s="273"/>
      <c r="O19" s="273"/>
      <c r="P19" s="220"/>
      <c r="Q19" s="274"/>
      <c r="R19" s="217" t="str">
        <f ca="1">IF(ISERROR($V19),"",OFFSET('Smelter Look-up'!$C$4,$V19-4,0)&amp;"")</f>
        <v/>
      </c>
      <c r="S19" s="225" t="str">
        <f t="shared" ca="1" si="3"/>
        <v/>
      </c>
      <c r="T19" s="225" t="str">
        <f ca="1">IF(B19="","",IF(ISERROR(MATCH($J19,SorP!$B$1:$B$6230,0)),"",INDIRECT("'SorP'!$A$"&amp;MATCH($J19,SorP!$B$1:$B$6230,0))))</f>
        <v/>
      </c>
      <c r="U19" s="241"/>
      <c r="V19" s="275" t="e">
        <f>IF(C19="",NA(),MATCH($B19&amp;$C19,'Smelter Look-up'!$J:$J,0))</f>
        <v>#N/A</v>
      </c>
      <c r="W19" s="276"/>
      <c r="X19" s="276">
        <f t="shared" ca="1" si="4"/>
        <v>0</v>
      </c>
      <c r="Y19" s="276"/>
      <c r="Z19" s="276"/>
      <c r="AB19" s="278" t="str">
        <f t="shared" si="5"/>
        <v/>
      </c>
    </row>
    <row r="20" spans="1:28" s="277" customFormat="1" ht="20.25">
      <c r="A20" s="216"/>
      <c r="B20" s="217" t="str">
        <f>IF(LEN(A20)=0,"",INDEX('Smelter Look-up'!$A:$A,MATCH($A20,'Smelter Look-up'!$E:$E,0)))</f>
        <v/>
      </c>
      <c r="C20" s="221" t="str">
        <f>IF(LEN(A20)=0,"",INDEX('Smelter Look-up'!$C:$C,MATCH($A20,'Smelter Look-up'!$E:$E,0)))</f>
        <v/>
      </c>
      <c r="D20" s="283"/>
      <c r="E20" s="217" t="str">
        <f ca="1">IF(ISERROR($V20),"",OFFSET('Smelter Look-up'!$D$4,$V20-4,0)&amp;"")</f>
        <v/>
      </c>
      <c r="F20" s="217" t="str">
        <f ca="1">IF(ISERROR($V20),"",OFFSET('Smelter Look-up'!$E$4,$V20-4,0))</f>
        <v/>
      </c>
      <c r="G20" s="217" t="str">
        <f ca="1">IF(C20=$X$4,"Enter smelter details",IF(ISERROR($V20),"",OFFSET('Smelter Look-up'!$F$4,$V20-4,0)))</f>
        <v/>
      </c>
      <c r="H20" s="218" t="str">
        <f ca="1">IF(ISERROR($V20),"",OFFSET('Smelter Look-up'!$G$4,$V20-4,0))</f>
        <v/>
      </c>
      <c r="I20" s="219" t="str">
        <f ca="1">IF(ISERROR($V20),"",OFFSET('Smelter Look-up'!$H$4,$V20-4,0))</f>
        <v/>
      </c>
      <c r="J20" s="219" t="str">
        <f ca="1">IF(ISERROR($V20),"",OFFSET('Smelter Look-up'!$I$4,$V20-4,0))</f>
        <v/>
      </c>
      <c r="K20" s="273"/>
      <c r="L20" s="273"/>
      <c r="M20" s="273"/>
      <c r="N20" s="273"/>
      <c r="O20" s="273"/>
      <c r="P20" s="220"/>
      <c r="Q20" s="274"/>
      <c r="R20" s="217" t="str">
        <f ca="1">IF(ISERROR($V20),"",OFFSET('Smelter Look-up'!$C$4,$V20-4,0)&amp;"")</f>
        <v/>
      </c>
      <c r="S20" s="225" t="str">
        <f t="shared" ca="1" si="3"/>
        <v/>
      </c>
      <c r="T20" s="225" t="str">
        <f ca="1">IF(B20="","",IF(ISERROR(MATCH($J20,SorP!$B$1:$B$6230,0)),"",INDIRECT("'SorP'!$A$"&amp;MATCH($J20,SorP!$B$1:$B$6230,0))))</f>
        <v/>
      </c>
      <c r="U20" s="241"/>
      <c r="V20" s="275" t="e">
        <f>IF(C20="",NA(),MATCH($B20&amp;$C20,'Smelter Look-up'!$J:$J,0))</f>
        <v>#N/A</v>
      </c>
      <c r="W20" s="276"/>
      <c r="X20" s="276">
        <f t="shared" ca="1" si="4"/>
        <v>0</v>
      </c>
      <c r="Y20" s="276"/>
      <c r="Z20" s="276"/>
      <c r="AB20" s="278" t="str">
        <f t="shared" si="5"/>
        <v/>
      </c>
    </row>
    <row r="21" spans="1:28" s="277" customFormat="1" ht="20.25">
      <c r="A21" s="216"/>
      <c r="B21" s="217" t="str">
        <f>IF(LEN(A21)=0,"",INDEX('Smelter Look-up'!$A:$A,MATCH($A21,'Smelter Look-up'!$E:$E,0)))</f>
        <v/>
      </c>
      <c r="C21" s="221" t="str">
        <f>IF(LEN(A21)=0,"",INDEX('Smelter Look-up'!$C:$C,MATCH($A21,'Smelter Look-up'!$E:$E,0)))</f>
        <v/>
      </c>
      <c r="D21" s="283"/>
      <c r="E21" s="217" t="str">
        <f ca="1">IF(ISERROR($V21),"",OFFSET('Smelter Look-up'!$D$4,$V21-4,0)&amp;"")</f>
        <v/>
      </c>
      <c r="F21" s="217" t="str">
        <f ca="1">IF(ISERROR($V21),"",OFFSET('Smelter Look-up'!$E$4,$V21-4,0))</f>
        <v/>
      </c>
      <c r="G21" s="217" t="str">
        <f ca="1">IF(C21=$X$4,"Enter smelter details",IF(ISERROR($V21),"",OFFSET('Smelter Look-up'!$F$4,$V21-4,0)))</f>
        <v/>
      </c>
      <c r="H21" s="218" t="str">
        <f ca="1">IF(ISERROR($V21),"",OFFSET('Smelter Look-up'!$G$4,$V21-4,0))</f>
        <v/>
      </c>
      <c r="I21" s="219" t="str">
        <f ca="1">IF(ISERROR($V21),"",OFFSET('Smelter Look-up'!$H$4,$V21-4,0))</f>
        <v/>
      </c>
      <c r="J21" s="219" t="str">
        <f ca="1">IF(ISERROR($V21),"",OFFSET('Smelter Look-up'!$I$4,$V21-4,0))</f>
        <v/>
      </c>
      <c r="K21" s="273"/>
      <c r="L21" s="273"/>
      <c r="M21" s="273"/>
      <c r="N21" s="273"/>
      <c r="O21" s="273"/>
      <c r="P21" s="220"/>
      <c r="Q21" s="274"/>
      <c r="R21" s="217" t="str">
        <f ca="1">IF(ISERROR($V21),"",OFFSET('Smelter Look-up'!$C$4,$V21-4,0)&amp;"")</f>
        <v/>
      </c>
      <c r="S21" s="225" t="str">
        <f t="shared" ca="1" si="3"/>
        <v/>
      </c>
      <c r="T21" s="225" t="str">
        <f ca="1">IF(B21="","",IF(ISERROR(MATCH($J21,SorP!$B$1:$B$6230,0)),"",INDIRECT("'SorP'!$A$"&amp;MATCH($J21,SorP!$B$1:$B$6230,0))))</f>
        <v/>
      </c>
      <c r="U21" s="241"/>
      <c r="V21" s="275" t="e">
        <f>IF(C21="",NA(),MATCH($B21&amp;$C21,'Smelter Look-up'!$J:$J,0))</f>
        <v>#N/A</v>
      </c>
      <c r="W21" s="276"/>
      <c r="X21" s="276">
        <f t="shared" ca="1" si="4"/>
        <v>0</v>
      </c>
      <c r="Y21" s="276"/>
      <c r="Z21" s="276"/>
      <c r="AB21" s="278" t="str">
        <f t="shared" si="5"/>
        <v/>
      </c>
    </row>
    <row r="22" spans="1:28" s="277" customFormat="1" ht="20.25">
      <c r="A22" s="216"/>
      <c r="B22" s="217" t="str">
        <f>IF(LEN(A22)=0,"",INDEX('Smelter Look-up'!$A:$A,MATCH($A22,'Smelter Look-up'!$E:$E,0)))</f>
        <v/>
      </c>
      <c r="C22" s="221" t="str">
        <f>IF(LEN(A22)=0,"",INDEX('Smelter Look-up'!$C:$C,MATCH($A22,'Smelter Look-up'!$E:$E,0)))</f>
        <v/>
      </c>
      <c r="D22" s="283"/>
      <c r="E22" s="217" t="str">
        <f ca="1">IF(ISERROR($V22),"",OFFSET('Smelter Look-up'!$D$4,$V22-4,0)&amp;"")</f>
        <v/>
      </c>
      <c r="F22" s="217" t="str">
        <f ca="1">IF(ISERROR($V22),"",OFFSET('Smelter Look-up'!$E$4,$V22-4,0))</f>
        <v/>
      </c>
      <c r="G22" s="217" t="str">
        <f ca="1">IF(C22=$X$4,"Enter smelter details",IF(ISERROR($V22),"",OFFSET('Smelter Look-up'!$F$4,$V22-4,0)))</f>
        <v/>
      </c>
      <c r="H22" s="218" t="str">
        <f ca="1">IF(ISERROR($V22),"",OFFSET('Smelter Look-up'!$G$4,$V22-4,0))</f>
        <v/>
      </c>
      <c r="I22" s="219" t="str">
        <f ca="1">IF(ISERROR($V22),"",OFFSET('Smelter Look-up'!$H$4,$V22-4,0))</f>
        <v/>
      </c>
      <c r="J22" s="219" t="str">
        <f ca="1">IF(ISERROR($V22),"",OFFSET('Smelter Look-up'!$I$4,$V22-4,0))</f>
        <v/>
      </c>
      <c r="K22" s="273"/>
      <c r="L22" s="273"/>
      <c r="M22" s="273"/>
      <c r="N22" s="273"/>
      <c r="O22" s="273"/>
      <c r="P22" s="220"/>
      <c r="Q22" s="274"/>
      <c r="R22" s="217" t="str">
        <f ca="1">IF(ISERROR($V22),"",OFFSET('Smelter Look-up'!$C$4,$V22-4,0)&amp;"")</f>
        <v/>
      </c>
      <c r="S22" s="225" t="str">
        <f t="shared" ca="1" si="3"/>
        <v/>
      </c>
      <c r="T22" s="225" t="str">
        <f ca="1">IF(B22="","",IF(ISERROR(MATCH($J22,SorP!$B$1:$B$6230,0)),"",INDIRECT("'SorP'!$A$"&amp;MATCH($J22,SorP!$B$1:$B$6230,0))))</f>
        <v/>
      </c>
      <c r="U22" s="241"/>
      <c r="V22" s="275" t="e">
        <f>IF(C22="",NA(),MATCH($B22&amp;$C22,'Smelter Look-up'!$J:$J,0))</f>
        <v>#N/A</v>
      </c>
      <c r="W22" s="276"/>
      <c r="X22" s="276">
        <f t="shared" ca="1" si="4"/>
        <v>0</v>
      </c>
      <c r="Y22" s="276"/>
      <c r="Z22" s="276"/>
      <c r="AB22" s="278" t="str">
        <f t="shared" si="5"/>
        <v/>
      </c>
    </row>
    <row r="23" spans="1:28" s="277" customFormat="1" ht="20.25">
      <c r="A23" s="216"/>
      <c r="B23" s="217" t="str">
        <f>IF(LEN(A23)=0,"",INDEX('Smelter Look-up'!$A:$A,MATCH($A23,'Smelter Look-up'!$E:$E,0)))</f>
        <v/>
      </c>
      <c r="C23" s="221" t="str">
        <f>IF(LEN(A23)=0,"",INDEX('Smelter Look-up'!$C:$C,MATCH($A23,'Smelter Look-up'!$E:$E,0)))</f>
        <v/>
      </c>
      <c r="D23" s="283"/>
      <c r="E23" s="217" t="str">
        <f ca="1">IF(ISERROR($V23),"",OFFSET('Smelter Look-up'!$D$4,$V23-4,0)&amp;"")</f>
        <v/>
      </c>
      <c r="F23" s="217" t="str">
        <f ca="1">IF(ISERROR($V23),"",OFFSET('Smelter Look-up'!$E$4,$V23-4,0))</f>
        <v/>
      </c>
      <c r="G23" s="217" t="str">
        <f ca="1">IF(C23=$X$4,"Enter smelter details",IF(ISERROR($V23),"",OFFSET('Smelter Look-up'!$F$4,$V23-4,0)))</f>
        <v/>
      </c>
      <c r="H23" s="218" t="str">
        <f ca="1">IF(ISERROR($V23),"",OFFSET('Smelter Look-up'!$G$4,$V23-4,0))</f>
        <v/>
      </c>
      <c r="I23" s="219" t="str">
        <f ca="1">IF(ISERROR($V23),"",OFFSET('Smelter Look-up'!$H$4,$V23-4,0))</f>
        <v/>
      </c>
      <c r="J23" s="219" t="str">
        <f ca="1">IF(ISERROR($V23),"",OFFSET('Smelter Look-up'!$I$4,$V23-4,0))</f>
        <v/>
      </c>
      <c r="K23" s="273"/>
      <c r="L23" s="273"/>
      <c r="M23" s="273"/>
      <c r="N23" s="273"/>
      <c r="O23" s="273"/>
      <c r="P23" s="220"/>
      <c r="Q23" s="274"/>
      <c r="R23" s="217" t="str">
        <f ca="1">IF(ISERROR($V23),"",OFFSET('Smelter Look-up'!$C$4,$V23-4,0)&amp;"")</f>
        <v/>
      </c>
      <c r="S23" s="225" t="str">
        <f t="shared" ca="1" si="3"/>
        <v/>
      </c>
      <c r="T23" s="225" t="str">
        <f ca="1">IF(B23="","",IF(ISERROR(MATCH($J23,SorP!$B$1:$B$6230,0)),"",INDIRECT("'SorP'!$A$"&amp;MATCH($J23,SorP!$B$1:$B$6230,0))))</f>
        <v/>
      </c>
      <c r="U23" s="241"/>
      <c r="V23" s="275" t="e">
        <f>IF(C23="",NA(),MATCH($B23&amp;$C23,'Smelter Look-up'!$J:$J,0))</f>
        <v>#N/A</v>
      </c>
      <c r="W23" s="276"/>
      <c r="X23" s="276">
        <f t="shared" ca="1" si="4"/>
        <v>0</v>
      </c>
      <c r="Y23" s="276"/>
      <c r="Z23" s="276"/>
      <c r="AB23" s="278" t="str">
        <f t="shared" si="5"/>
        <v/>
      </c>
    </row>
    <row r="24" spans="1:28" s="277" customFormat="1" ht="20.25">
      <c r="A24" s="216"/>
      <c r="B24" s="217" t="str">
        <f>IF(LEN(A24)=0,"",INDEX('Smelter Look-up'!$A:$A,MATCH($A24,'Smelter Look-up'!$E:$E,0)))</f>
        <v/>
      </c>
      <c r="C24" s="221" t="str">
        <f>IF(LEN(A24)=0,"",INDEX('Smelter Look-up'!$C:$C,MATCH($A24,'Smelter Look-up'!$E:$E,0)))</f>
        <v/>
      </c>
      <c r="D24" s="283"/>
      <c r="E24" s="217" t="str">
        <f ca="1">IF(ISERROR($V24),"",OFFSET('Smelter Look-up'!$D$4,$V24-4,0)&amp;"")</f>
        <v/>
      </c>
      <c r="F24" s="217" t="str">
        <f ca="1">IF(ISERROR($V24),"",OFFSET('Smelter Look-up'!$E$4,$V24-4,0))</f>
        <v/>
      </c>
      <c r="G24" s="217" t="str">
        <f ca="1">IF(C24=$X$4,"Enter smelter details",IF(ISERROR($V24),"",OFFSET('Smelter Look-up'!$F$4,$V24-4,0)))</f>
        <v/>
      </c>
      <c r="H24" s="218" t="str">
        <f ca="1">IF(ISERROR($V24),"",OFFSET('Smelter Look-up'!$G$4,$V24-4,0))</f>
        <v/>
      </c>
      <c r="I24" s="219" t="str">
        <f ca="1">IF(ISERROR($V24),"",OFFSET('Smelter Look-up'!$H$4,$V24-4,0))</f>
        <v/>
      </c>
      <c r="J24" s="219" t="str">
        <f ca="1">IF(ISERROR($V24),"",OFFSET('Smelter Look-up'!$I$4,$V24-4,0))</f>
        <v/>
      </c>
      <c r="K24" s="273"/>
      <c r="L24" s="273"/>
      <c r="M24" s="273"/>
      <c r="N24" s="273"/>
      <c r="O24" s="273"/>
      <c r="P24" s="220"/>
      <c r="Q24" s="274"/>
      <c r="R24" s="217" t="str">
        <f ca="1">IF(ISERROR($V24),"",OFFSET('Smelter Look-up'!$C$4,$V24-4,0)&amp;"")</f>
        <v/>
      </c>
      <c r="S24" s="225" t="str">
        <f t="shared" ca="1" si="3"/>
        <v/>
      </c>
      <c r="T24" s="225" t="str">
        <f ca="1">IF(B24="","",IF(ISERROR(MATCH($J24,SorP!$B$1:$B$6230,0)),"",INDIRECT("'SorP'!$A$"&amp;MATCH($J24,SorP!$B$1:$B$6230,0))))</f>
        <v/>
      </c>
      <c r="U24" s="241"/>
      <c r="V24" s="275" t="e">
        <f>IF(C24="",NA(),MATCH($B24&amp;$C24,'Smelter Look-up'!$J:$J,0))</f>
        <v>#N/A</v>
      </c>
      <c r="W24" s="276"/>
      <c r="X24" s="276">
        <f t="shared" ca="1" si="4"/>
        <v>0</v>
      </c>
      <c r="Y24" s="276"/>
      <c r="Z24" s="276"/>
      <c r="AB24" s="278" t="str">
        <f t="shared" si="5"/>
        <v/>
      </c>
    </row>
    <row r="25" spans="1:28" s="277" customFormat="1" ht="20.25">
      <c r="A25" s="216"/>
      <c r="B25" s="217" t="str">
        <f>IF(LEN(A25)=0,"",INDEX('Smelter Look-up'!$A:$A,MATCH($A25,'Smelter Look-up'!$E:$E,0)))</f>
        <v/>
      </c>
      <c r="C25" s="221" t="str">
        <f>IF(LEN(A25)=0,"",INDEX('Smelter Look-up'!$C:$C,MATCH($A25,'Smelter Look-up'!$E:$E,0)))</f>
        <v/>
      </c>
      <c r="D25" s="283"/>
      <c r="E25" s="217" t="str">
        <f ca="1">IF(ISERROR($V25),"",OFFSET('Smelter Look-up'!$D$4,$V25-4,0)&amp;"")</f>
        <v/>
      </c>
      <c r="F25" s="217" t="str">
        <f ca="1">IF(ISERROR($V25),"",OFFSET('Smelter Look-up'!$E$4,$V25-4,0))</f>
        <v/>
      </c>
      <c r="G25" s="217" t="str">
        <f ca="1">IF(C25=$X$4,"Enter smelter details",IF(ISERROR($V25),"",OFFSET('Smelter Look-up'!$F$4,$V25-4,0)))</f>
        <v/>
      </c>
      <c r="H25" s="218" t="str">
        <f ca="1">IF(ISERROR($V25),"",OFFSET('Smelter Look-up'!$G$4,$V25-4,0))</f>
        <v/>
      </c>
      <c r="I25" s="219" t="str">
        <f ca="1">IF(ISERROR($V25),"",OFFSET('Smelter Look-up'!$H$4,$V25-4,0))</f>
        <v/>
      </c>
      <c r="J25" s="219" t="str">
        <f ca="1">IF(ISERROR($V25),"",OFFSET('Smelter Look-up'!$I$4,$V25-4,0))</f>
        <v/>
      </c>
      <c r="K25" s="273"/>
      <c r="L25" s="273"/>
      <c r="M25" s="273"/>
      <c r="N25" s="273"/>
      <c r="O25" s="273"/>
      <c r="P25" s="220"/>
      <c r="Q25" s="274"/>
      <c r="R25" s="217" t="str">
        <f ca="1">IF(ISERROR($V25),"",OFFSET('Smelter Look-up'!$C$4,$V25-4,0)&amp;"")</f>
        <v/>
      </c>
      <c r="S25" s="225" t="str">
        <f t="shared" ca="1" si="3"/>
        <v/>
      </c>
      <c r="T25" s="225" t="str">
        <f ca="1">IF(B25="","",IF(ISERROR(MATCH($J25,SorP!$B$1:$B$6230,0)),"",INDIRECT("'SorP'!$A$"&amp;MATCH($J25,SorP!$B$1:$B$6230,0))))</f>
        <v/>
      </c>
      <c r="U25" s="241"/>
      <c r="V25" s="275" t="e">
        <f>IF(C25="",NA(),MATCH($B25&amp;$C25,'Smelter Look-up'!$J:$J,0))</f>
        <v>#N/A</v>
      </c>
      <c r="W25" s="276"/>
      <c r="X25" s="276">
        <f t="shared" ca="1" si="4"/>
        <v>0</v>
      </c>
      <c r="Y25" s="276"/>
      <c r="Z25" s="276"/>
      <c r="AB25" s="278" t="str">
        <f t="shared" si="5"/>
        <v/>
      </c>
    </row>
    <row r="26" spans="1:28" s="277" customFormat="1" ht="20.25">
      <c r="A26" s="216"/>
      <c r="B26" s="217" t="str">
        <f>IF(LEN(A26)=0,"",INDEX('Smelter Look-up'!$A:$A,MATCH($A26,'Smelter Look-up'!$E:$E,0)))</f>
        <v/>
      </c>
      <c r="C26" s="221" t="str">
        <f>IF(LEN(A26)=0,"",INDEX('Smelter Look-up'!$C:$C,MATCH($A26,'Smelter Look-up'!$E:$E,0)))</f>
        <v/>
      </c>
      <c r="D26" s="283"/>
      <c r="E26" s="217" t="str">
        <f ca="1">IF(ISERROR($V26),"",OFFSET('Smelter Look-up'!$D$4,$V26-4,0)&amp;"")</f>
        <v/>
      </c>
      <c r="F26" s="217" t="str">
        <f ca="1">IF(ISERROR($V26),"",OFFSET('Smelter Look-up'!$E$4,$V26-4,0))</f>
        <v/>
      </c>
      <c r="G26" s="217" t="str">
        <f ca="1">IF(C26=$X$4,"Enter smelter details",IF(ISERROR($V26),"",OFFSET('Smelter Look-up'!$F$4,$V26-4,0)))</f>
        <v/>
      </c>
      <c r="H26" s="218" t="str">
        <f ca="1">IF(ISERROR($V26),"",OFFSET('Smelter Look-up'!$G$4,$V26-4,0))</f>
        <v/>
      </c>
      <c r="I26" s="219" t="str">
        <f ca="1">IF(ISERROR($V26),"",OFFSET('Smelter Look-up'!$H$4,$V26-4,0))</f>
        <v/>
      </c>
      <c r="J26" s="219" t="str">
        <f ca="1">IF(ISERROR($V26),"",OFFSET('Smelter Look-up'!$I$4,$V26-4,0))</f>
        <v/>
      </c>
      <c r="K26" s="273"/>
      <c r="L26" s="273"/>
      <c r="M26" s="273"/>
      <c r="N26" s="273"/>
      <c r="O26" s="273"/>
      <c r="P26" s="220"/>
      <c r="Q26" s="274"/>
      <c r="R26" s="217" t="str">
        <f ca="1">IF(ISERROR($V26),"",OFFSET('Smelter Look-up'!$C$4,$V26-4,0)&amp;"")</f>
        <v/>
      </c>
      <c r="S26" s="225" t="str">
        <f t="shared" ca="1" si="3"/>
        <v/>
      </c>
      <c r="T26" s="225" t="str">
        <f ca="1">IF(B26="","",IF(ISERROR(MATCH($J26,SorP!$B$1:$B$6230,0)),"",INDIRECT("'SorP'!$A$"&amp;MATCH($J26,SorP!$B$1:$B$6230,0))))</f>
        <v/>
      </c>
      <c r="U26" s="241"/>
      <c r="V26" s="275" t="e">
        <f>IF(C26="",NA(),MATCH($B26&amp;$C26,'Smelter Look-up'!$J:$J,0))</f>
        <v>#N/A</v>
      </c>
      <c r="W26" s="276"/>
      <c r="X26" s="276">
        <f t="shared" ca="1" si="4"/>
        <v>0</v>
      </c>
      <c r="Y26" s="276"/>
      <c r="Z26" s="276"/>
      <c r="AB26" s="278" t="str">
        <f t="shared" si="5"/>
        <v/>
      </c>
    </row>
    <row r="27" spans="1:28" s="277" customFormat="1" ht="20.25">
      <c r="A27" s="216"/>
      <c r="B27" s="217" t="str">
        <f>IF(LEN(A27)=0,"",INDEX('Smelter Look-up'!$A:$A,MATCH($A27,'Smelter Look-up'!$E:$E,0)))</f>
        <v/>
      </c>
      <c r="C27" s="221" t="str">
        <f>IF(LEN(A27)=0,"",INDEX('Smelter Look-up'!$C:$C,MATCH($A27,'Smelter Look-up'!$E:$E,0)))</f>
        <v/>
      </c>
      <c r="D27" s="283"/>
      <c r="E27" s="217" t="str">
        <f ca="1">IF(ISERROR($V27),"",OFFSET('Smelter Look-up'!$D$4,$V27-4,0)&amp;"")</f>
        <v/>
      </c>
      <c r="F27" s="217" t="str">
        <f ca="1">IF(ISERROR($V27),"",OFFSET('Smelter Look-up'!$E$4,$V27-4,0))</f>
        <v/>
      </c>
      <c r="G27" s="217" t="str">
        <f ca="1">IF(C27=$X$4,"Enter smelter details",IF(ISERROR($V27),"",OFFSET('Smelter Look-up'!$F$4,$V27-4,0)))</f>
        <v/>
      </c>
      <c r="H27" s="218" t="str">
        <f ca="1">IF(ISERROR($V27),"",OFFSET('Smelter Look-up'!$G$4,$V27-4,0))</f>
        <v/>
      </c>
      <c r="I27" s="219" t="str">
        <f ca="1">IF(ISERROR($V27),"",OFFSET('Smelter Look-up'!$H$4,$V27-4,0))</f>
        <v/>
      </c>
      <c r="J27" s="219" t="str">
        <f ca="1">IF(ISERROR($V27),"",OFFSET('Smelter Look-up'!$I$4,$V27-4,0))</f>
        <v/>
      </c>
      <c r="K27" s="273"/>
      <c r="L27" s="273"/>
      <c r="M27" s="273"/>
      <c r="N27" s="273"/>
      <c r="O27" s="273"/>
      <c r="P27" s="220"/>
      <c r="Q27" s="274"/>
      <c r="R27" s="217" t="str">
        <f ca="1">IF(ISERROR($V27),"",OFFSET('Smelter Look-up'!$C$4,$V27-4,0)&amp;"")</f>
        <v/>
      </c>
      <c r="S27" s="225" t="str">
        <f t="shared" ca="1" si="3"/>
        <v/>
      </c>
      <c r="T27" s="225" t="str">
        <f ca="1">IF(B27="","",IF(ISERROR(MATCH($J27,SorP!$B$1:$B$6230,0)),"",INDIRECT("'SorP'!$A$"&amp;MATCH($J27,SorP!$B$1:$B$6230,0))))</f>
        <v/>
      </c>
      <c r="U27" s="241"/>
      <c r="V27" s="275" t="e">
        <f>IF(C27="",NA(),MATCH($B27&amp;$C27,'Smelter Look-up'!$J:$J,0))</f>
        <v>#N/A</v>
      </c>
      <c r="W27" s="276"/>
      <c r="X27" s="276">
        <f t="shared" ca="1" si="4"/>
        <v>0</v>
      </c>
      <c r="Y27" s="276"/>
      <c r="Z27" s="276"/>
      <c r="AB27" s="278" t="str">
        <f t="shared" si="5"/>
        <v/>
      </c>
    </row>
    <row r="28" spans="1:28" s="277" customFormat="1" ht="20.25">
      <c r="A28" s="216"/>
      <c r="B28" s="217" t="str">
        <f>IF(LEN(A28)=0,"",INDEX('Smelter Look-up'!$A:$A,MATCH($A28,'Smelter Look-up'!$E:$E,0)))</f>
        <v/>
      </c>
      <c r="C28" s="221" t="str">
        <f>IF(LEN(A28)=0,"",INDEX('Smelter Look-up'!$C:$C,MATCH($A28,'Smelter Look-up'!$E:$E,0)))</f>
        <v/>
      </c>
      <c r="D28" s="283"/>
      <c r="E28" s="217" t="str">
        <f ca="1">IF(ISERROR($V28),"",OFFSET('Smelter Look-up'!$D$4,$V28-4,0)&amp;"")</f>
        <v/>
      </c>
      <c r="F28" s="217" t="str">
        <f ca="1">IF(ISERROR($V28),"",OFFSET('Smelter Look-up'!$E$4,$V28-4,0))</f>
        <v/>
      </c>
      <c r="G28" s="217" t="str">
        <f ca="1">IF(C28=$X$4,"Enter smelter details",IF(ISERROR($V28),"",OFFSET('Smelter Look-up'!$F$4,$V28-4,0)))</f>
        <v/>
      </c>
      <c r="H28" s="218" t="str">
        <f ca="1">IF(ISERROR($V28),"",OFFSET('Smelter Look-up'!$G$4,$V28-4,0))</f>
        <v/>
      </c>
      <c r="I28" s="219" t="str">
        <f ca="1">IF(ISERROR($V28),"",OFFSET('Smelter Look-up'!$H$4,$V28-4,0))</f>
        <v/>
      </c>
      <c r="J28" s="219" t="str">
        <f ca="1">IF(ISERROR($V28),"",OFFSET('Smelter Look-up'!$I$4,$V28-4,0))</f>
        <v/>
      </c>
      <c r="K28" s="273"/>
      <c r="L28" s="273"/>
      <c r="M28" s="273"/>
      <c r="N28" s="273"/>
      <c r="O28" s="273"/>
      <c r="P28" s="220"/>
      <c r="Q28" s="274"/>
      <c r="R28" s="217" t="str">
        <f ca="1">IF(ISERROR($V28),"",OFFSET('Smelter Look-up'!$C$4,$V28-4,0)&amp;"")</f>
        <v/>
      </c>
      <c r="S28" s="225" t="str">
        <f t="shared" ca="1" si="3"/>
        <v/>
      </c>
      <c r="T28" s="225" t="str">
        <f ca="1">IF(B28="","",IF(ISERROR(MATCH($J28,SorP!$B$1:$B$6230,0)),"",INDIRECT("'SorP'!$A$"&amp;MATCH($J28,SorP!$B$1:$B$6230,0))))</f>
        <v/>
      </c>
      <c r="U28" s="241"/>
      <c r="V28" s="275" t="e">
        <f>IF(C28="",NA(),MATCH($B28&amp;$C28,'Smelter Look-up'!$J:$J,0))</f>
        <v>#N/A</v>
      </c>
      <c r="W28" s="276"/>
      <c r="X28" s="276">
        <f t="shared" ca="1" si="4"/>
        <v>0</v>
      </c>
      <c r="Y28" s="276"/>
      <c r="Z28" s="276"/>
      <c r="AB28" s="278" t="str">
        <f t="shared" si="5"/>
        <v/>
      </c>
    </row>
    <row r="29" spans="1:28" s="277" customFormat="1" ht="20.25">
      <c r="A29" s="216"/>
      <c r="B29" s="217" t="str">
        <f>IF(LEN(A29)=0,"",INDEX('Smelter Look-up'!$A:$A,MATCH($A29,'Smelter Look-up'!$E:$E,0)))</f>
        <v/>
      </c>
      <c r="C29" s="221" t="str">
        <f>IF(LEN(A29)=0,"",INDEX('Smelter Look-up'!$C:$C,MATCH($A29,'Smelter Look-up'!$E:$E,0)))</f>
        <v/>
      </c>
      <c r="D29" s="283"/>
      <c r="E29" s="217" t="str">
        <f ca="1">IF(ISERROR($V29),"",OFFSET('Smelter Look-up'!$D$4,$V29-4,0)&amp;"")</f>
        <v/>
      </c>
      <c r="F29" s="217" t="str">
        <f ca="1">IF(ISERROR($V29),"",OFFSET('Smelter Look-up'!$E$4,$V29-4,0))</f>
        <v/>
      </c>
      <c r="G29" s="217" t="str">
        <f ca="1">IF(C29=$X$4,"Enter smelter details",IF(ISERROR($V29),"",OFFSET('Smelter Look-up'!$F$4,$V29-4,0)))</f>
        <v/>
      </c>
      <c r="H29" s="218" t="str">
        <f ca="1">IF(ISERROR($V29),"",OFFSET('Smelter Look-up'!$G$4,$V29-4,0))</f>
        <v/>
      </c>
      <c r="I29" s="219" t="str">
        <f ca="1">IF(ISERROR($V29),"",OFFSET('Smelter Look-up'!$H$4,$V29-4,0))</f>
        <v/>
      </c>
      <c r="J29" s="219" t="str">
        <f ca="1">IF(ISERROR($V29),"",OFFSET('Smelter Look-up'!$I$4,$V29-4,0))</f>
        <v/>
      </c>
      <c r="K29" s="273"/>
      <c r="L29" s="273"/>
      <c r="M29" s="273"/>
      <c r="N29" s="273"/>
      <c r="O29" s="273"/>
      <c r="P29" s="220"/>
      <c r="Q29" s="274"/>
      <c r="R29" s="217" t="str">
        <f ca="1">IF(ISERROR($V29),"",OFFSET('Smelter Look-up'!$C$4,$V29-4,0)&amp;"")</f>
        <v/>
      </c>
      <c r="S29" s="225" t="str">
        <f t="shared" ca="1" si="3"/>
        <v/>
      </c>
      <c r="T29" s="225" t="str">
        <f ca="1">IF(B29="","",IF(ISERROR(MATCH($J29,SorP!$B$1:$B$6230,0)),"",INDIRECT("'SorP'!$A$"&amp;MATCH($J29,SorP!$B$1:$B$6230,0))))</f>
        <v/>
      </c>
      <c r="U29" s="241"/>
      <c r="V29" s="275" t="e">
        <f>IF(C29="",NA(),MATCH($B29&amp;$C29,'Smelter Look-up'!$J:$J,0))</f>
        <v>#N/A</v>
      </c>
      <c r="W29" s="276"/>
      <c r="X29" s="276">
        <f t="shared" ca="1" si="4"/>
        <v>0</v>
      </c>
      <c r="Y29" s="276"/>
      <c r="Z29" s="276"/>
      <c r="AB29" s="278" t="str">
        <f t="shared" si="5"/>
        <v/>
      </c>
    </row>
    <row r="30" spans="1:28" s="277" customFormat="1" ht="20.25">
      <c r="A30" s="216"/>
      <c r="B30" s="217" t="str">
        <f>IF(LEN(A30)=0,"",INDEX('Smelter Look-up'!$A:$A,MATCH($A30,'Smelter Look-up'!$E:$E,0)))</f>
        <v/>
      </c>
      <c r="C30" s="221" t="str">
        <f>IF(LEN(A30)=0,"",INDEX('Smelter Look-up'!$C:$C,MATCH($A30,'Smelter Look-up'!$E:$E,0)))</f>
        <v/>
      </c>
      <c r="D30" s="283"/>
      <c r="E30" s="217" t="str">
        <f ca="1">IF(ISERROR($V30),"",OFFSET('Smelter Look-up'!$D$4,$V30-4,0)&amp;"")</f>
        <v/>
      </c>
      <c r="F30" s="217" t="str">
        <f ca="1">IF(ISERROR($V30),"",OFFSET('Smelter Look-up'!$E$4,$V30-4,0))</f>
        <v/>
      </c>
      <c r="G30" s="217" t="str">
        <f ca="1">IF(C30=$X$4,"Enter smelter details",IF(ISERROR($V30),"",OFFSET('Smelter Look-up'!$F$4,$V30-4,0)))</f>
        <v/>
      </c>
      <c r="H30" s="218" t="str">
        <f ca="1">IF(ISERROR($V30),"",OFFSET('Smelter Look-up'!$G$4,$V30-4,0))</f>
        <v/>
      </c>
      <c r="I30" s="219" t="str">
        <f ca="1">IF(ISERROR($V30),"",OFFSET('Smelter Look-up'!$H$4,$V30-4,0))</f>
        <v/>
      </c>
      <c r="J30" s="219" t="str">
        <f ca="1">IF(ISERROR($V30),"",OFFSET('Smelter Look-up'!$I$4,$V30-4,0))</f>
        <v/>
      </c>
      <c r="K30" s="273"/>
      <c r="L30" s="273"/>
      <c r="M30" s="273"/>
      <c r="N30" s="273"/>
      <c r="O30" s="273"/>
      <c r="P30" s="220"/>
      <c r="Q30" s="274"/>
      <c r="R30" s="217" t="str">
        <f ca="1">IF(ISERROR($V30),"",OFFSET('Smelter Look-up'!$C$4,$V30-4,0)&amp;"")</f>
        <v/>
      </c>
      <c r="S30" s="225" t="str">
        <f t="shared" ca="1" si="3"/>
        <v/>
      </c>
      <c r="T30" s="225" t="str">
        <f ca="1">IF(B30="","",IF(ISERROR(MATCH($J30,SorP!$B$1:$B$6230,0)),"",INDIRECT("'SorP'!$A$"&amp;MATCH($J30,SorP!$B$1:$B$6230,0))))</f>
        <v/>
      </c>
      <c r="U30" s="241"/>
      <c r="V30" s="275" t="e">
        <f>IF(C30="",NA(),MATCH($B30&amp;$C30,'Smelter Look-up'!$J:$J,0))</f>
        <v>#N/A</v>
      </c>
      <c r="W30" s="276"/>
      <c r="X30" s="276">
        <f t="shared" ca="1" si="4"/>
        <v>0</v>
      </c>
      <c r="Y30" s="276"/>
      <c r="Z30" s="276"/>
      <c r="AB30" s="278" t="str">
        <f t="shared" si="5"/>
        <v/>
      </c>
    </row>
    <row r="31" spans="1:28" s="277" customFormat="1" ht="20.25">
      <c r="A31" s="216"/>
      <c r="B31" s="217" t="str">
        <f>IF(LEN(A31)=0,"",INDEX('Smelter Look-up'!$A:$A,MATCH($A31,'Smelter Look-up'!$E:$E,0)))</f>
        <v/>
      </c>
      <c r="C31" s="221" t="str">
        <f>IF(LEN(A31)=0,"",INDEX('Smelter Look-up'!$C:$C,MATCH($A31,'Smelter Look-up'!$E:$E,0)))</f>
        <v/>
      </c>
      <c r="D31" s="283"/>
      <c r="E31" s="217" t="str">
        <f ca="1">IF(ISERROR($V31),"",OFFSET('Smelter Look-up'!$D$4,$V31-4,0)&amp;"")</f>
        <v/>
      </c>
      <c r="F31" s="217" t="str">
        <f ca="1">IF(ISERROR($V31),"",OFFSET('Smelter Look-up'!$E$4,$V31-4,0))</f>
        <v/>
      </c>
      <c r="G31" s="217" t="str">
        <f ca="1">IF(C31=$X$4,"Enter smelter details",IF(ISERROR($V31),"",OFFSET('Smelter Look-up'!$F$4,$V31-4,0)))</f>
        <v/>
      </c>
      <c r="H31" s="218" t="str">
        <f ca="1">IF(ISERROR($V31),"",OFFSET('Smelter Look-up'!$G$4,$V31-4,0))</f>
        <v/>
      </c>
      <c r="I31" s="219" t="str">
        <f ca="1">IF(ISERROR($V31),"",OFFSET('Smelter Look-up'!$H$4,$V31-4,0))</f>
        <v/>
      </c>
      <c r="J31" s="219" t="str">
        <f ca="1">IF(ISERROR($V31),"",OFFSET('Smelter Look-up'!$I$4,$V31-4,0))</f>
        <v/>
      </c>
      <c r="K31" s="273"/>
      <c r="L31" s="273"/>
      <c r="M31" s="273"/>
      <c r="N31" s="273"/>
      <c r="O31" s="273"/>
      <c r="P31" s="220"/>
      <c r="Q31" s="274"/>
      <c r="R31" s="217" t="str">
        <f ca="1">IF(ISERROR($V31),"",OFFSET('Smelter Look-up'!$C$4,$V31-4,0)&amp;"")</f>
        <v/>
      </c>
      <c r="S31" s="225" t="str">
        <f t="shared" ca="1" si="3"/>
        <v/>
      </c>
      <c r="T31" s="225" t="str">
        <f ca="1">IF(B31="","",IF(ISERROR(MATCH($J31,SorP!$B$1:$B$6230,0)),"",INDIRECT("'SorP'!$A$"&amp;MATCH($J31,SorP!$B$1:$B$6230,0))))</f>
        <v/>
      </c>
      <c r="U31" s="241"/>
      <c r="V31" s="275" t="e">
        <f>IF(C31="",NA(),MATCH($B31&amp;$C31,'Smelter Look-up'!$J:$J,0))</f>
        <v>#N/A</v>
      </c>
      <c r="W31" s="276"/>
      <c r="X31" s="276">
        <f t="shared" ca="1" si="4"/>
        <v>0</v>
      </c>
      <c r="Y31" s="276"/>
      <c r="Z31" s="276"/>
      <c r="AB31" s="278" t="str">
        <f t="shared" si="5"/>
        <v/>
      </c>
    </row>
    <row r="32" spans="1:28" s="277" customFormat="1" ht="20.25">
      <c r="A32" s="216"/>
      <c r="B32" s="217" t="str">
        <f>IF(LEN(A32)=0,"",INDEX('Smelter Look-up'!$A:$A,MATCH($A32,'Smelter Look-up'!$E:$E,0)))</f>
        <v/>
      </c>
      <c r="C32" s="221" t="str">
        <f>IF(LEN(A32)=0,"",INDEX('Smelter Look-up'!$C:$C,MATCH($A32,'Smelter Look-up'!$E:$E,0)))</f>
        <v/>
      </c>
      <c r="D32" s="283"/>
      <c r="E32" s="217" t="str">
        <f ca="1">IF(ISERROR($V32),"",OFFSET('Smelter Look-up'!$D$4,$V32-4,0)&amp;"")</f>
        <v/>
      </c>
      <c r="F32" s="217" t="str">
        <f ca="1">IF(ISERROR($V32),"",OFFSET('Smelter Look-up'!$E$4,$V32-4,0))</f>
        <v/>
      </c>
      <c r="G32" s="217" t="str">
        <f ca="1">IF(C32=$X$4,"Enter smelter details",IF(ISERROR($V32),"",OFFSET('Smelter Look-up'!$F$4,$V32-4,0)))</f>
        <v/>
      </c>
      <c r="H32" s="218" t="str">
        <f ca="1">IF(ISERROR($V32),"",OFFSET('Smelter Look-up'!$G$4,$V32-4,0))</f>
        <v/>
      </c>
      <c r="I32" s="219" t="str">
        <f ca="1">IF(ISERROR($V32),"",OFFSET('Smelter Look-up'!$H$4,$V32-4,0))</f>
        <v/>
      </c>
      <c r="J32" s="219" t="str">
        <f ca="1">IF(ISERROR($V32),"",OFFSET('Smelter Look-up'!$I$4,$V32-4,0))</f>
        <v/>
      </c>
      <c r="K32" s="273"/>
      <c r="L32" s="273"/>
      <c r="M32" s="273"/>
      <c r="N32" s="273"/>
      <c r="O32" s="273"/>
      <c r="P32" s="220"/>
      <c r="Q32" s="274"/>
      <c r="R32" s="217" t="str">
        <f ca="1">IF(ISERROR($V32),"",OFFSET('Smelter Look-up'!$C$4,$V32-4,0)&amp;"")</f>
        <v/>
      </c>
      <c r="S32" s="225" t="str">
        <f t="shared" ca="1" si="3"/>
        <v/>
      </c>
      <c r="T32" s="225" t="str">
        <f ca="1">IF(B32="","",IF(ISERROR(MATCH($J32,SorP!$B$1:$B$6230,0)),"",INDIRECT("'SorP'!$A$"&amp;MATCH($J32,SorP!$B$1:$B$6230,0))))</f>
        <v/>
      </c>
      <c r="U32" s="241"/>
      <c r="V32" s="275" t="e">
        <f>IF(C32="",NA(),MATCH($B32&amp;$C32,'Smelter Look-up'!$J:$J,0))</f>
        <v>#N/A</v>
      </c>
      <c r="W32" s="276"/>
      <c r="X32" s="276">
        <f t="shared" ca="1" si="4"/>
        <v>0</v>
      </c>
      <c r="Y32" s="276"/>
      <c r="Z32" s="276"/>
      <c r="AB32" s="278" t="str">
        <f t="shared" si="5"/>
        <v/>
      </c>
    </row>
    <row r="33" spans="1:28" s="277" customFormat="1" ht="20.25">
      <c r="A33" s="216"/>
      <c r="B33" s="217" t="str">
        <f>IF(LEN(A33)=0,"",INDEX('Smelter Look-up'!$A:$A,MATCH($A33,'Smelter Look-up'!$E:$E,0)))</f>
        <v/>
      </c>
      <c r="C33" s="221" t="str">
        <f>IF(LEN(A33)=0,"",INDEX('Smelter Look-up'!$C:$C,MATCH($A33,'Smelter Look-up'!$E:$E,0)))</f>
        <v/>
      </c>
      <c r="D33" s="283"/>
      <c r="E33" s="217" t="str">
        <f ca="1">IF(ISERROR($V33),"",OFFSET('Smelter Look-up'!$D$4,$V33-4,0)&amp;"")</f>
        <v/>
      </c>
      <c r="F33" s="217" t="str">
        <f ca="1">IF(ISERROR($V33),"",OFFSET('Smelter Look-up'!$E$4,$V33-4,0))</f>
        <v/>
      </c>
      <c r="G33" s="217" t="str">
        <f ca="1">IF(C33=$X$4,"Enter smelter details",IF(ISERROR($V33),"",OFFSET('Smelter Look-up'!$F$4,$V33-4,0)))</f>
        <v/>
      </c>
      <c r="H33" s="218" t="str">
        <f ca="1">IF(ISERROR($V33),"",OFFSET('Smelter Look-up'!$G$4,$V33-4,0))</f>
        <v/>
      </c>
      <c r="I33" s="219" t="str">
        <f ca="1">IF(ISERROR($V33),"",OFFSET('Smelter Look-up'!$H$4,$V33-4,0))</f>
        <v/>
      </c>
      <c r="J33" s="219" t="str">
        <f ca="1">IF(ISERROR($V33),"",OFFSET('Smelter Look-up'!$I$4,$V33-4,0))</f>
        <v/>
      </c>
      <c r="K33" s="273"/>
      <c r="L33" s="273"/>
      <c r="M33" s="273"/>
      <c r="N33" s="273"/>
      <c r="O33" s="273"/>
      <c r="P33" s="220"/>
      <c r="Q33" s="274"/>
      <c r="R33" s="217" t="str">
        <f ca="1">IF(ISERROR($V33),"",OFFSET('Smelter Look-up'!$C$4,$V33-4,0)&amp;"")</f>
        <v/>
      </c>
      <c r="S33" s="225" t="str">
        <f t="shared" ca="1" si="3"/>
        <v/>
      </c>
      <c r="T33" s="225" t="str">
        <f ca="1">IF(B33="","",IF(ISERROR(MATCH($J33,SorP!$B$1:$B$6230,0)),"",INDIRECT("'SorP'!$A$"&amp;MATCH($J33,SorP!$B$1:$B$6230,0))))</f>
        <v/>
      </c>
      <c r="U33" s="241"/>
      <c r="V33" s="275" t="e">
        <f>IF(C33="",NA(),MATCH($B33&amp;$C33,'Smelter Look-up'!$J:$J,0))</f>
        <v>#N/A</v>
      </c>
      <c r="W33" s="276"/>
      <c r="X33" s="276">
        <f t="shared" ca="1" si="4"/>
        <v>0</v>
      </c>
      <c r="Y33" s="276"/>
      <c r="Z33" s="276"/>
      <c r="AB33" s="278" t="str">
        <f t="shared" si="5"/>
        <v/>
      </c>
    </row>
    <row r="34" spans="1:28" s="277" customFormat="1" ht="20.25">
      <c r="A34" s="216"/>
      <c r="B34" s="217" t="str">
        <f>IF(LEN(A34)=0,"",INDEX('Smelter Look-up'!$A:$A,MATCH($A34,'Smelter Look-up'!$E:$E,0)))</f>
        <v/>
      </c>
      <c r="C34" s="221" t="str">
        <f>IF(LEN(A34)=0,"",INDEX('Smelter Look-up'!$C:$C,MATCH($A34,'Smelter Look-up'!$E:$E,0)))</f>
        <v/>
      </c>
      <c r="D34" s="283"/>
      <c r="E34" s="217" t="str">
        <f ca="1">IF(ISERROR($V34),"",OFFSET('Smelter Look-up'!$D$4,$V34-4,0)&amp;"")</f>
        <v/>
      </c>
      <c r="F34" s="217" t="str">
        <f ca="1">IF(ISERROR($V34),"",OFFSET('Smelter Look-up'!$E$4,$V34-4,0))</f>
        <v/>
      </c>
      <c r="G34" s="217" t="str">
        <f ca="1">IF(C34=$X$4,"Enter smelter details",IF(ISERROR($V34),"",OFFSET('Smelter Look-up'!$F$4,$V34-4,0)))</f>
        <v/>
      </c>
      <c r="H34" s="218" t="str">
        <f ca="1">IF(ISERROR($V34),"",OFFSET('Smelter Look-up'!$G$4,$V34-4,0))</f>
        <v/>
      </c>
      <c r="I34" s="219" t="str">
        <f ca="1">IF(ISERROR($V34),"",OFFSET('Smelter Look-up'!$H$4,$V34-4,0))</f>
        <v/>
      </c>
      <c r="J34" s="219" t="str">
        <f ca="1">IF(ISERROR($V34),"",OFFSET('Smelter Look-up'!$I$4,$V34-4,0))</f>
        <v/>
      </c>
      <c r="K34" s="273"/>
      <c r="L34" s="273"/>
      <c r="M34" s="273"/>
      <c r="N34" s="273"/>
      <c r="O34" s="273"/>
      <c r="P34" s="220"/>
      <c r="Q34" s="274"/>
      <c r="R34" s="217" t="str">
        <f ca="1">IF(ISERROR($V34),"",OFFSET('Smelter Look-up'!$C$4,$V34-4,0)&amp;"")</f>
        <v/>
      </c>
      <c r="S34" s="225" t="str">
        <f t="shared" ca="1" si="3"/>
        <v/>
      </c>
      <c r="T34" s="225" t="str">
        <f ca="1">IF(B34="","",IF(ISERROR(MATCH($J34,SorP!$B$1:$B$6230,0)),"",INDIRECT("'SorP'!$A$"&amp;MATCH($J34,SorP!$B$1:$B$6230,0))))</f>
        <v/>
      </c>
      <c r="U34" s="241"/>
      <c r="V34" s="275" t="e">
        <f>IF(C34="",NA(),MATCH($B34&amp;$C34,'Smelter Look-up'!$J:$J,0))</f>
        <v>#N/A</v>
      </c>
      <c r="W34" s="276"/>
      <c r="X34" s="276">
        <f t="shared" ca="1" si="4"/>
        <v>0</v>
      </c>
      <c r="Y34" s="276"/>
      <c r="Z34" s="276"/>
      <c r="AB34" s="278" t="str">
        <f t="shared" si="5"/>
        <v/>
      </c>
    </row>
    <row r="35" spans="1:28" s="277" customFormat="1" ht="20.25">
      <c r="A35" s="216"/>
      <c r="B35" s="217" t="str">
        <f>IF(LEN(A35)=0,"",INDEX('Smelter Look-up'!$A:$A,MATCH($A35,'Smelter Look-up'!$E:$E,0)))</f>
        <v/>
      </c>
      <c r="C35" s="221" t="str">
        <f>IF(LEN(A35)=0,"",INDEX('Smelter Look-up'!$C:$C,MATCH($A35,'Smelter Look-up'!$E:$E,0)))</f>
        <v/>
      </c>
      <c r="D35" s="283"/>
      <c r="E35" s="217" t="str">
        <f ca="1">IF(ISERROR($V35),"",OFFSET('Smelter Look-up'!$D$4,$V35-4,0)&amp;"")</f>
        <v/>
      </c>
      <c r="F35" s="217" t="str">
        <f ca="1">IF(ISERROR($V35),"",OFFSET('Smelter Look-up'!$E$4,$V35-4,0))</f>
        <v/>
      </c>
      <c r="G35" s="217" t="str">
        <f ca="1">IF(C35=$X$4,"Enter smelter details",IF(ISERROR($V35),"",OFFSET('Smelter Look-up'!$F$4,$V35-4,0)))</f>
        <v/>
      </c>
      <c r="H35" s="218" t="str">
        <f ca="1">IF(ISERROR($V35),"",OFFSET('Smelter Look-up'!$G$4,$V35-4,0))</f>
        <v/>
      </c>
      <c r="I35" s="219" t="str">
        <f ca="1">IF(ISERROR($V35),"",OFFSET('Smelter Look-up'!$H$4,$V35-4,0))</f>
        <v/>
      </c>
      <c r="J35" s="219" t="str">
        <f ca="1">IF(ISERROR($V35),"",OFFSET('Smelter Look-up'!$I$4,$V35-4,0))</f>
        <v/>
      </c>
      <c r="K35" s="273"/>
      <c r="L35" s="273"/>
      <c r="M35" s="273"/>
      <c r="N35" s="273"/>
      <c r="O35" s="273"/>
      <c r="P35" s="220"/>
      <c r="Q35" s="274"/>
      <c r="R35" s="217" t="str">
        <f ca="1">IF(ISERROR($V35),"",OFFSET('Smelter Look-up'!$C$4,$V35-4,0)&amp;"")</f>
        <v/>
      </c>
      <c r="S35" s="225" t="str">
        <f t="shared" ca="1" si="3"/>
        <v/>
      </c>
      <c r="T35" s="225" t="str">
        <f ca="1">IF(B35="","",IF(ISERROR(MATCH($J35,SorP!$B$1:$B$6230,0)),"",INDIRECT("'SorP'!$A$"&amp;MATCH($J35,SorP!$B$1:$B$6230,0))))</f>
        <v/>
      </c>
      <c r="U35" s="241"/>
      <c r="V35" s="275" t="e">
        <f>IF(C35="",NA(),MATCH($B35&amp;$C35,'Smelter Look-up'!$J:$J,0))</f>
        <v>#N/A</v>
      </c>
      <c r="W35" s="276"/>
      <c r="X35" s="276">
        <f t="shared" ca="1" si="4"/>
        <v>0</v>
      </c>
      <c r="Y35" s="276"/>
      <c r="Z35" s="276"/>
      <c r="AB35" s="278" t="str">
        <f t="shared" si="5"/>
        <v/>
      </c>
    </row>
    <row r="36" spans="1:28" s="277" customFormat="1" ht="20.25">
      <c r="A36" s="216"/>
      <c r="B36" s="217" t="str">
        <f>IF(LEN(A36)=0,"",INDEX('Smelter Look-up'!$A:$A,MATCH($A36,'Smelter Look-up'!$E:$E,0)))</f>
        <v/>
      </c>
      <c r="C36" s="221" t="str">
        <f>IF(LEN(A36)=0,"",INDEX('Smelter Look-up'!$C:$C,MATCH($A36,'Smelter Look-up'!$E:$E,0)))</f>
        <v/>
      </c>
      <c r="D36" s="283"/>
      <c r="E36" s="217" t="str">
        <f ca="1">IF(ISERROR($V36),"",OFFSET('Smelter Look-up'!$D$4,$V36-4,0)&amp;"")</f>
        <v/>
      </c>
      <c r="F36" s="217" t="str">
        <f ca="1">IF(ISERROR($V36),"",OFFSET('Smelter Look-up'!$E$4,$V36-4,0))</f>
        <v/>
      </c>
      <c r="G36" s="217" t="str">
        <f ca="1">IF(C36=$X$4,"Enter smelter details",IF(ISERROR($V36),"",OFFSET('Smelter Look-up'!$F$4,$V36-4,0)))</f>
        <v/>
      </c>
      <c r="H36" s="218" t="str">
        <f ca="1">IF(ISERROR($V36),"",OFFSET('Smelter Look-up'!$G$4,$V36-4,0))</f>
        <v/>
      </c>
      <c r="I36" s="219" t="str">
        <f ca="1">IF(ISERROR($V36),"",OFFSET('Smelter Look-up'!$H$4,$V36-4,0))</f>
        <v/>
      </c>
      <c r="J36" s="219" t="str">
        <f ca="1">IF(ISERROR($V36),"",OFFSET('Smelter Look-up'!$I$4,$V36-4,0))</f>
        <v/>
      </c>
      <c r="K36" s="273"/>
      <c r="L36" s="273"/>
      <c r="M36" s="273"/>
      <c r="N36" s="273"/>
      <c r="O36" s="273"/>
      <c r="P36" s="220"/>
      <c r="Q36" s="274"/>
      <c r="R36" s="217" t="str">
        <f ca="1">IF(ISERROR($V36),"",OFFSET('Smelter Look-up'!$C$4,$V36-4,0)&amp;"")</f>
        <v/>
      </c>
      <c r="S36" s="225" t="str">
        <f t="shared" ca="1" si="3"/>
        <v/>
      </c>
      <c r="T36" s="225" t="str">
        <f ca="1">IF(B36="","",IF(ISERROR(MATCH($J36,SorP!$B$1:$B$6230,0)),"",INDIRECT("'SorP'!$A$"&amp;MATCH($J36,SorP!$B$1:$B$6230,0))))</f>
        <v/>
      </c>
      <c r="U36" s="241"/>
      <c r="V36" s="275" t="e">
        <f>IF(C36="",NA(),MATCH($B36&amp;$C36,'Smelter Look-up'!$J:$J,0))</f>
        <v>#N/A</v>
      </c>
      <c r="W36" s="276"/>
      <c r="X36" s="276">
        <f t="shared" ca="1" si="4"/>
        <v>0</v>
      </c>
      <c r="Y36" s="276"/>
      <c r="Z36" s="276"/>
      <c r="AB36" s="278" t="str">
        <f t="shared" si="5"/>
        <v/>
      </c>
    </row>
    <row r="37" spans="1:28" s="277" customFormat="1" ht="20.25">
      <c r="A37" s="216"/>
      <c r="B37" s="217" t="str">
        <f>IF(LEN(A37)=0,"",INDEX('Smelter Look-up'!$A:$A,MATCH($A37,'Smelter Look-up'!$E:$E,0)))</f>
        <v/>
      </c>
      <c r="C37" s="221" t="str">
        <f>IF(LEN(A37)=0,"",INDEX('Smelter Look-up'!$C:$C,MATCH($A37,'Smelter Look-up'!$E:$E,0)))</f>
        <v/>
      </c>
      <c r="D37" s="283"/>
      <c r="E37" s="217" t="str">
        <f ca="1">IF(ISERROR($V37),"",OFFSET('Smelter Look-up'!$D$4,$V37-4,0)&amp;"")</f>
        <v/>
      </c>
      <c r="F37" s="217" t="str">
        <f ca="1">IF(ISERROR($V37),"",OFFSET('Smelter Look-up'!$E$4,$V37-4,0))</f>
        <v/>
      </c>
      <c r="G37" s="217" t="str">
        <f ca="1">IF(C37=$X$4,"Enter smelter details",IF(ISERROR($V37),"",OFFSET('Smelter Look-up'!$F$4,$V37-4,0)))</f>
        <v/>
      </c>
      <c r="H37" s="218" t="str">
        <f ca="1">IF(ISERROR($V37),"",OFFSET('Smelter Look-up'!$G$4,$V37-4,0))</f>
        <v/>
      </c>
      <c r="I37" s="219" t="str">
        <f ca="1">IF(ISERROR($V37),"",OFFSET('Smelter Look-up'!$H$4,$V37-4,0))</f>
        <v/>
      </c>
      <c r="J37" s="219" t="str">
        <f ca="1">IF(ISERROR($V37),"",OFFSET('Smelter Look-up'!$I$4,$V37-4,0))</f>
        <v/>
      </c>
      <c r="K37" s="273"/>
      <c r="L37" s="273"/>
      <c r="M37" s="273"/>
      <c r="N37" s="273"/>
      <c r="O37" s="273"/>
      <c r="P37" s="220"/>
      <c r="Q37" s="274"/>
      <c r="R37" s="217" t="str">
        <f ca="1">IF(ISERROR($V37),"",OFFSET('Smelter Look-up'!$C$4,$V37-4,0)&amp;"")</f>
        <v/>
      </c>
      <c r="S37" s="225" t="str">
        <f t="shared" ca="1" si="3"/>
        <v/>
      </c>
      <c r="T37" s="225" t="str">
        <f ca="1">IF(B37="","",IF(ISERROR(MATCH($J37,SorP!$B$1:$B$6230,0)),"",INDIRECT("'SorP'!$A$"&amp;MATCH($J37,SorP!$B$1:$B$6230,0))))</f>
        <v/>
      </c>
      <c r="U37" s="241"/>
      <c r="V37" s="275" t="e">
        <f>IF(C37="",NA(),MATCH($B37&amp;$C37,'Smelter Look-up'!$J:$J,0))</f>
        <v>#N/A</v>
      </c>
      <c r="W37" s="276"/>
      <c r="X37" s="276">
        <f t="shared" ca="1" si="4"/>
        <v>0</v>
      </c>
      <c r="Y37" s="276"/>
      <c r="Z37" s="276"/>
      <c r="AB37" s="278" t="str">
        <f t="shared" si="5"/>
        <v/>
      </c>
    </row>
    <row r="38" spans="1:28" s="277" customFormat="1" ht="20.25">
      <c r="A38" s="216"/>
      <c r="B38" s="217" t="str">
        <f>IF(LEN(A38)=0,"",INDEX('Smelter Look-up'!$A:$A,MATCH($A38,'Smelter Look-up'!$E:$E,0)))</f>
        <v/>
      </c>
      <c r="C38" s="221" t="str">
        <f>IF(LEN(A38)=0,"",INDEX('Smelter Look-up'!$C:$C,MATCH($A38,'Smelter Look-up'!$E:$E,0)))</f>
        <v/>
      </c>
      <c r="D38" s="283"/>
      <c r="E38" s="217" t="str">
        <f ca="1">IF(ISERROR($V38),"",OFFSET('Smelter Look-up'!$D$4,$V38-4,0)&amp;"")</f>
        <v/>
      </c>
      <c r="F38" s="217" t="str">
        <f ca="1">IF(ISERROR($V38),"",OFFSET('Smelter Look-up'!$E$4,$V38-4,0))</f>
        <v/>
      </c>
      <c r="G38" s="217" t="str">
        <f ca="1">IF(C38=$X$4,"Enter smelter details",IF(ISERROR($V38),"",OFFSET('Smelter Look-up'!$F$4,$V38-4,0)))</f>
        <v/>
      </c>
      <c r="H38" s="218" t="str">
        <f ca="1">IF(ISERROR($V38),"",OFFSET('Smelter Look-up'!$G$4,$V38-4,0))</f>
        <v/>
      </c>
      <c r="I38" s="219" t="str">
        <f ca="1">IF(ISERROR($V38),"",OFFSET('Smelter Look-up'!$H$4,$V38-4,0))</f>
        <v/>
      </c>
      <c r="J38" s="219" t="str">
        <f ca="1">IF(ISERROR($V38),"",OFFSET('Smelter Look-up'!$I$4,$V38-4,0))</f>
        <v/>
      </c>
      <c r="K38" s="273"/>
      <c r="L38" s="273"/>
      <c r="M38" s="273"/>
      <c r="N38" s="273"/>
      <c r="O38" s="273"/>
      <c r="P38" s="220"/>
      <c r="Q38" s="274"/>
      <c r="R38" s="217" t="str">
        <f ca="1">IF(ISERROR($V38),"",OFFSET('Smelter Look-up'!$C$4,$V38-4,0)&amp;"")</f>
        <v/>
      </c>
      <c r="S38" s="225" t="str">
        <f t="shared" ref="S38:S68" ca="1" si="6">IF(B38="","",IF(ISERROR(MATCH($E38,CL,0)),"Unknown",INDIRECT("'C'!$A$"&amp;MATCH($E38,CL,0)+1)))</f>
        <v/>
      </c>
      <c r="T38" s="225" t="str">
        <f ca="1">IF(B38="","",IF(ISERROR(MATCH($J38,SorP!$B$1:$B$6230,0)),"",INDIRECT("'SorP'!$A$"&amp;MATCH($J38,SorP!$B$1:$B$6230,0))))</f>
        <v/>
      </c>
      <c r="U38" s="241"/>
      <c r="V38" s="275" t="e">
        <f>IF(C38="",NA(),MATCH($B38&amp;$C38,'Smelter Look-up'!$J:$J,0))</f>
        <v>#N/A</v>
      </c>
      <c r="W38" s="276"/>
      <c r="X38" s="276">
        <f t="shared" ref="X38:X68" ca="1" si="7">IF(AND(C38="Smelter not listed",OR(LEN(D38)=0,LEN(E38)=0)),1,0)</f>
        <v>0</v>
      </c>
      <c r="Y38" s="276"/>
      <c r="Z38" s="276"/>
      <c r="AB38" s="278" t="str">
        <f t="shared" ref="AB38:AB68" si="8">B38&amp;C38</f>
        <v/>
      </c>
    </row>
    <row r="39" spans="1:28" s="277" customFormat="1" ht="20.25">
      <c r="A39" s="216"/>
      <c r="B39" s="217" t="str">
        <f>IF(LEN(A39)=0,"",INDEX('Smelter Look-up'!$A:$A,MATCH($A39,'Smelter Look-up'!$E:$E,0)))</f>
        <v/>
      </c>
      <c r="C39" s="221" t="str">
        <f>IF(LEN(A39)=0,"",INDEX('Smelter Look-up'!$C:$C,MATCH($A39,'Smelter Look-up'!$E:$E,0)))</f>
        <v/>
      </c>
      <c r="D39" s="283"/>
      <c r="E39" s="217" t="str">
        <f ca="1">IF(ISERROR($V39),"",OFFSET('Smelter Look-up'!$D$4,$V39-4,0)&amp;"")</f>
        <v/>
      </c>
      <c r="F39" s="217" t="str">
        <f ca="1">IF(ISERROR($V39),"",OFFSET('Smelter Look-up'!$E$4,$V39-4,0))</f>
        <v/>
      </c>
      <c r="G39" s="217" t="str">
        <f ca="1">IF(C39=$X$4,"Enter smelter details",IF(ISERROR($V39),"",OFFSET('Smelter Look-up'!$F$4,$V39-4,0)))</f>
        <v/>
      </c>
      <c r="H39" s="218" t="str">
        <f ca="1">IF(ISERROR($V39),"",OFFSET('Smelter Look-up'!$G$4,$V39-4,0))</f>
        <v/>
      </c>
      <c r="I39" s="219" t="str">
        <f ca="1">IF(ISERROR($V39),"",OFFSET('Smelter Look-up'!$H$4,$V39-4,0))</f>
        <v/>
      </c>
      <c r="J39" s="219" t="str">
        <f ca="1">IF(ISERROR($V39),"",OFFSET('Smelter Look-up'!$I$4,$V39-4,0))</f>
        <v/>
      </c>
      <c r="K39" s="273"/>
      <c r="L39" s="273"/>
      <c r="M39" s="273"/>
      <c r="N39" s="273"/>
      <c r="O39" s="273"/>
      <c r="P39" s="220"/>
      <c r="Q39" s="274"/>
      <c r="R39" s="217" t="str">
        <f ca="1">IF(ISERROR($V39),"",OFFSET('Smelter Look-up'!$C$4,$V39-4,0)&amp;"")</f>
        <v/>
      </c>
      <c r="S39" s="225" t="str">
        <f t="shared" ca="1" si="6"/>
        <v/>
      </c>
      <c r="T39" s="225" t="str">
        <f ca="1">IF(B39="","",IF(ISERROR(MATCH($J39,SorP!$B$1:$B$6230,0)),"",INDIRECT("'SorP'!$A$"&amp;MATCH($J39,SorP!$B$1:$B$6230,0))))</f>
        <v/>
      </c>
      <c r="U39" s="241"/>
      <c r="V39" s="275" t="e">
        <f>IF(C39="",NA(),MATCH($B39&amp;$C39,'Smelter Look-up'!$J:$J,0))</f>
        <v>#N/A</v>
      </c>
      <c r="W39" s="276"/>
      <c r="X39" s="276">
        <f t="shared" ca="1" si="7"/>
        <v>0</v>
      </c>
      <c r="Y39" s="276"/>
      <c r="Z39" s="276"/>
      <c r="AB39" s="278" t="str">
        <f t="shared" si="8"/>
        <v/>
      </c>
    </row>
    <row r="40" spans="1:28" s="277" customFormat="1" ht="20.25">
      <c r="A40" s="216"/>
      <c r="B40" s="217" t="str">
        <f>IF(LEN(A40)=0,"",INDEX('Smelter Look-up'!$A:$A,MATCH($A40,'Smelter Look-up'!$E:$E,0)))</f>
        <v/>
      </c>
      <c r="C40" s="221" t="str">
        <f>IF(LEN(A40)=0,"",INDEX('Smelter Look-up'!$C:$C,MATCH($A40,'Smelter Look-up'!$E:$E,0)))</f>
        <v/>
      </c>
      <c r="D40" s="283"/>
      <c r="E40" s="217" t="str">
        <f ca="1">IF(ISERROR($V40),"",OFFSET('Smelter Look-up'!$D$4,$V40-4,0)&amp;"")</f>
        <v/>
      </c>
      <c r="F40" s="217" t="str">
        <f ca="1">IF(ISERROR($V40),"",OFFSET('Smelter Look-up'!$E$4,$V40-4,0))</f>
        <v/>
      </c>
      <c r="G40" s="217" t="str">
        <f ca="1">IF(C40=$X$4,"Enter smelter details",IF(ISERROR($V40),"",OFFSET('Smelter Look-up'!$F$4,$V40-4,0)))</f>
        <v/>
      </c>
      <c r="H40" s="218" t="str">
        <f ca="1">IF(ISERROR($V40),"",OFFSET('Smelter Look-up'!$G$4,$V40-4,0))</f>
        <v/>
      </c>
      <c r="I40" s="219" t="str">
        <f ca="1">IF(ISERROR($V40),"",OFFSET('Smelter Look-up'!$H$4,$V40-4,0))</f>
        <v/>
      </c>
      <c r="J40" s="219" t="str">
        <f ca="1">IF(ISERROR($V40),"",OFFSET('Smelter Look-up'!$I$4,$V40-4,0))</f>
        <v/>
      </c>
      <c r="K40" s="273"/>
      <c r="L40" s="273"/>
      <c r="M40" s="273"/>
      <c r="N40" s="273"/>
      <c r="O40" s="273"/>
      <c r="P40" s="220"/>
      <c r="Q40" s="274"/>
      <c r="R40" s="217" t="str">
        <f ca="1">IF(ISERROR($V40),"",OFFSET('Smelter Look-up'!$C$4,$V40-4,0)&amp;"")</f>
        <v/>
      </c>
      <c r="S40" s="225" t="str">
        <f t="shared" ca="1" si="6"/>
        <v/>
      </c>
      <c r="T40" s="225" t="str">
        <f ca="1">IF(B40="","",IF(ISERROR(MATCH($J40,SorP!$B$1:$B$6230,0)),"",INDIRECT("'SorP'!$A$"&amp;MATCH($J40,SorP!$B$1:$B$6230,0))))</f>
        <v/>
      </c>
      <c r="U40" s="241"/>
      <c r="V40" s="275" t="e">
        <f>IF(C40="",NA(),MATCH($B40&amp;$C40,'Smelter Look-up'!$J:$J,0))</f>
        <v>#N/A</v>
      </c>
      <c r="W40" s="276"/>
      <c r="X40" s="276">
        <f t="shared" ca="1" si="7"/>
        <v>0</v>
      </c>
      <c r="Y40" s="276"/>
      <c r="Z40" s="276"/>
      <c r="AB40" s="278" t="str">
        <f t="shared" si="8"/>
        <v/>
      </c>
    </row>
    <row r="41" spans="1:28" s="277" customFormat="1" ht="20.25">
      <c r="A41" s="216"/>
      <c r="B41" s="217" t="str">
        <f>IF(LEN(A41)=0,"",INDEX('Smelter Look-up'!$A:$A,MATCH($A41,'Smelter Look-up'!$E:$E,0)))</f>
        <v/>
      </c>
      <c r="C41" s="221" t="str">
        <f>IF(LEN(A41)=0,"",INDEX('Smelter Look-up'!$C:$C,MATCH($A41,'Smelter Look-up'!$E:$E,0)))</f>
        <v/>
      </c>
      <c r="D41" s="283"/>
      <c r="E41" s="217" t="str">
        <f ca="1">IF(ISERROR($V41),"",OFFSET('Smelter Look-up'!$D$4,$V41-4,0)&amp;"")</f>
        <v/>
      </c>
      <c r="F41" s="217" t="str">
        <f ca="1">IF(ISERROR($V41),"",OFFSET('Smelter Look-up'!$E$4,$V41-4,0))</f>
        <v/>
      </c>
      <c r="G41" s="217" t="str">
        <f ca="1">IF(C41=$X$4,"Enter smelter details",IF(ISERROR($V41),"",OFFSET('Smelter Look-up'!$F$4,$V41-4,0)))</f>
        <v/>
      </c>
      <c r="H41" s="218" t="str">
        <f ca="1">IF(ISERROR($V41),"",OFFSET('Smelter Look-up'!$G$4,$V41-4,0))</f>
        <v/>
      </c>
      <c r="I41" s="219" t="str">
        <f ca="1">IF(ISERROR($V41),"",OFFSET('Smelter Look-up'!$H$4,$V41-4,0))</f>
        <v/>
      </c>
      <c r="J41" s="219" t="str">
        <f ca="1">IF(ISERROR($V41),"",OFFSET('Smelter Look-up'!$I$4,$V41-4,0))</f>
        <v/>
      </c>
      <c r="K41" s="273"/>
      <c r="L41" s="273"/>
      <c r="M41" s="273"/>
      <c r="N41" s="273"/>
      <c r="O41" s="273"/>
      <c r="P41" s="220"/>
      <c r="Q41" s="274"/>
      <c r="R41" s="217" t="str">
        <f ca="1">IF(ISERROR($V41),"",OFFSET('Smelter Look-up'!$C$4,$V41-4,0)&amp;"")</f>
        <v/>
      </c>
      <c r="S41" s="225" t="str">
        <f t="shared" ca="1" si="6"/>
        <v/>
      </c>
      <c r="T41" s="225" t="str">
        <f ca="1">IF(B41="","",IF(ISERROR(MATCH($J41,SorP!$B$1:$B$6230,0)),"",INDIRECT("'SorP'!$A$"&amp;MATCH($J41,SorP!$B$1:$B$6230,0))))</f>
        <v/>
      </c>
      <c r="U41" s="241"/>
      <c r="V41" s="275" t="e">
        <f>IF(C41="",NA(),MATCH($B41&amp;$C41,'Smelter Look-up'!$J:$J,0))</f>
        <v>#N/A</v>
      </c>
      <c r="W41" s="276"/>
      <c r="X41" s="276">
        <f t="shared" ca="1" si="7"/>
        <v>0</v>
      </c>
      <c r="Y41" s="276"/>
      <c r="Z41" s="276"/>
      <c r="AB41" s="278" t="str">
        <f t="shared" si="8"/>
        <v/>
      </c>
    </row>
    <row r="42" spans="1:28"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ca="1" si="6"/>
        <v/>
      </c>
      <c r="T42" s="225" t="str">
        <f ca="1">IF(B42="","",IF(ISERROR(MATCH($J42,SorP!$B$1:$B$6230,0)),"",INDIRECT("'SorP'!$A$"&amp;MATCH($J42,SorP!$B$1:$B$6230,0))))</f>
        <v/>
      </c>
      <c r="U42" s="241"/>
      <c r="V42" s="275" t="e">
        <f>IF(C42="",NA(),MATCH($B42&amp;$C42,'Smelter Look-up'!$J:$J,0))</f>
        <v>#N/A</v>
      </c>
      <c r="W42" s="276"/>
      <c r="X42" s="276">
        <f t="shared" ca="1" si="7"/>
        <v>0</v>
      </c>
      <c r="Y42" s="276"/>
      <c r="Z42" s="276"/>
      <c r="AB42" s="278" t="str">
        <f t="shared" si="8"/>
        <v/>
      </c>
    </row>
    <row r="43" spans="1:28"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6"/>
        <v/>
      </c>
      <c r="T43" s="225" t="str">
        <f ca="1">IF(B43="","",IF(ISERROR(MATCH($J43,SorP!$B$1:$B$6230,0)),"",INDIRECT("'SorP'!$A$"&amp;MATCH($J43,SorP!$B$1:$B$6230,0))))</f>
        <v/>
      </c>
      <c r="U43" s="241"/>
      <c r="V43" s="275" t="e">
        <f>IF(C43="",NA(),MATCH($B43&amp;$C43,'Smelter Look-up'!$J:$J,0))</f>
        <v>#N/A</v>
      </c>
      <c r="W43" s="276"/>
      <c r="X43" s="276">
        <f t="shared" ca="1" si="7"/>
        <v>0</v>
      </c>
      <c r="Y43" s="276"/>
      <c r="Z43" s="276"/>
      <c r="AB43" s="278" t="str">
        <f t="shared" si="8"/>
        <v/>
      </c>
    </row>
    <row r="44" spans="1:28"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6"/>
        <v/>
      </c>
      <c r="T44" s="225" t="str">
        <f ca="1">IF(B44="","",IF(ISERROR(MATCH($J44,SorP!$B$1:$B$6230,0)),"",INDIRECT("'SorP'!$A$"&amp;MATCH($J44,SorP!$B$1:$B$6230,0))))</f>
        <v/>
      </c>
      <c r="U44" s="241"/>
      <c r="V44" s="275" t="e">
        <f>IF(C44="",NA(),MATCH($B44&amp;$C44,'Smelter Look-up'!$J:$J,0))</f>
        <v>#N/A</v>
      </c>
      <c r="W44" s="276"/>
      <c r="X44" s="276">
        <f t="shared" ca="1" si="7"/>
        <v>0</v>
      </c>
      <c r="Y44" s="276"/>
      <c r="Z44" s="276"/>
      <c r="AB44" s="278" t="str">
        <f t="shared" si="8"/>
        <v/>
      </c>
    </row>
    <row r="45" spans="1:28"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6"/>
        <v/>
      </c>
      <c r="T45" s="225" t="str">
        <f ca="1">IF(B45="","",IF(ISERROR(MATCH($J45,SorP!$B$1:$B$6230,0)),"",INDIRECT("'SorP'!$A$"&amp;MATCH($J45,SorP!$B$1:$B$6230,0))))</f>
        <v/>
      </c>
      <c r="U45" s="241"/>
      <c r="V45" s="275" t="e">
        <f>IF(C45="",NA(),MATCH($B45&amp;$C45,'Smelter Look-up'!$J:$J,0))</f>
        <v>#N/A</v>
      </c>
      <c r="W45" s="276"/>
      <c r="X45" s="276">
        <f t="shared" ca="1" si="7"/>
        <v>0</v>
      </c>
      <c r="Y45" s="276"/>
      <c r="Z45" s="276"/>
      <c r="AB45" s="278" t="str">
        <f t="shared" si="8"/>
        <v/>
      </c>
    </row>
    <row r="46" spans="1:28"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6"/>
        <v/>
      </c>
      <c r="T46" s="225" t="str">
        <f ca="1">IF(B46="","",IF(ISERROR(MATCH($J46,SorP!$B$1:$B$6230,0)),"",INDIRECT("'SorP'!$A$"&amp;MATCH($J46,SorP!$B$1:$B$6230,0))))</f>
        <v/>
      </c>
      <c r="U46" s="241"/>
      <c r="V46" s="275" t="e">
        <f>IF(C46="",NA(),MATCH($B46&amp;$C46,'Smelter Look-up'!$J:$J,0))</f>
        <v>#N/A</v>
      </c>
      <c r="W46" s="276"/>
      <c r="X46" s="276">
        <f t="shared" ca="1" si="7"/>
        <v>0</v>
      </c>
      <c r="Y46" s="276"/>
      <c r="Z46" s="276"/>
      <c r="AB46" s="278" t="str">
        <f t="shared" si="8"/>
        <v/>
      </c>
    </row>
    <row r="47" spans="1:28"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6"/>
        <v/>
      </c>
      <c r="T47" s="225" t="str">
        <f ca="1">IF(B47="","",IF(ISERROR(MATCH($J47,SorP!$B$1:$B$6230,0)),"",INDIRECT("'SorP'!$A$"&amp;MATCH($J47,SorP!$B$1:$B$6230,0))))</f>
        <v/>
      </c>
      <c r="U47" s="241"/>
      <c r="V47" s="275" t="e">
        <f>IF(C47="",NA(),MATCH($B47&amp;$C47,'Smelter Look-up'!$J:$J,0))</f>
        <v>#N/A</v>
      </c>
      <c r="W47" s="276"/>
      <c r="X47" s="276">
        <f t="shared" ca="1" si="7"/>
        <v>0</v>
      </c>
      <c r="Y47" s="276"/>
      <c r="Z47" s="276"/>
      <c r="AB47" s="278" t="str">
        <f t="shared" si="8"/>
        <v/>
      </c>
    </row>
    <row r="48" spans="1:28"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6"/>
        <v/>
      </c>
      <c r="T48" s="225" t="str">
        <f ca="1">IF(B48="","",IF(ISERROR(MATCH($J48,SorP!$B$1:$B$6230,0)),"",INDIRECT("'SorP'!$A$"&amp;MATCH($J48,SorP!$B$1:$B$6230,0))))</f>
        <v/>
      </c>
      <c r="U48" s="241"/>
      <c r="V48" s="275" t="e">
        <f>IF(C48="",NA(),MATCH($B48&amp;$C48,'Smelter Look-up'!$J:$J,0))</f>
        <v>#N/A</v>
      </c>
      <c r="W48" s="276"/>
      <c r="X48" s="276">
        <f t="shared" ca="1" si="7"/>
        <v>0</v>
      </c>
      <c r="Y48" s="276"/>
      <c r="Z48" s="276"/>
      <c r="AB48" s="278" t="str">
        <f t="shared" si="8"/>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6"/>
        <v/>
      </c>
      <c r="T49" s="225" t="str">
        <f ca="1">IF(B49="","",IF(ISERROR(MATCH($J49,SorP!$B$1:$B$6230,0)),"",INDIRECT("'SorP'!$A$"&amp;MATCH($J49,SorP!$B$1:$B$6230,0))))</f>
        <v/>
      </c>
      <c r="U49" s="241"/>
      <c r="V49" s="275" t="e">
        <f>IF(C49="",NA(),MATCH($B49&amp;$C49,'Smelter Look-up'!$J:$J,0))</f>
        <v>#N/A</v>
      </c>
      <c r="W49" s="276"/>
      <c r="X49" s="276">
        <f t="shared" ca="1" si="7"/>
        <v>0</v>
      </c>
      <c r="Y49" s="276"/>
      <c r="Z49" s="276"/>
      <c r="AB49" s="278" t="str">
        <f t="shared" si="8"/>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6"/>
        <v/>
      </c>
      <c r="T50" s="225" t="str">
        <f ca="1">IF(B50="","",IF(ISERROR(MATCH($J50,SorP!$B$1:$B$6230,0)),"",INDIRECT("'SorP'!$A$"&amp;MATCH($J50,SorP!$B$1:$B$6230,0))))</f>
        <v/>
      </c>
      <c r="U50" s="241"/>
      <c r="V50" s="275" t="e">
        <f>IF(C50="",NA(),MATCH($B50&amp;$C50,'Smelter Look-up'!$J:$J,0))</f>
        <v>#N/A</v>
      </c>
      <c r="W50" s="276"/>
      <c r="X50" s="276">
        <f t="shared" ca="1" si="7"/>
        <v>0</v>
      </c>
      <c r="Y50" s="276"/>
      <c r="Z50" s="276"/>
      <c r="AB50" s="278" t="str">
        <f t="shared" si="8"/>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6"/>
        <v/>
      </c>
      <c r="T51" s="225" t="str">
        <f ca="1">IF(B51="","",IF(ISERROR(MATCH($J51,SorP!$B$1:$B$6230,0)),"",INDIRECT("'SorP'!$A$"&amp;MATCH($J51,SorP!$B$1:$B$6230,0))))</f>
        <v/>
      </c>
      <c r="U51" s="241"/>
      <c r="V51" s="275" t="e">
        <f>IF(C51="",NA(),MATCH($B51&amp;$C51,'Smelter Look-up'!$J:$J,0))</f>
        <v>#N/A</v>
      </c>
      <c r="W51" s="276"/>
      <c r="X51" s="276">
        <f t="shared" ca="1" si="7"/>
        <v>0</v>
      </c>
      <c r="Y51" s="276"/>
      <c r="Z51" s="276"/>
      <c r="AB51" s="278" t="str">
        <f t="shared" si="8"/>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6"/>
        <v/>
      </c>
      <c r="T52" s="225" t="str">
        <f ca="1">IF(B52="","",IF(ISERROR(MATCH($J52,SorP!$B$1:$B$6230,0)),"",INDIRECT("'SorP'!$A$"&amp;MATCH($J52,SorP!$B$1:$B$6230,0))))</f>
        <v/>
      </c>
      <c r="U52" s="241"/>
      <c r="V52" s="275" t="e">
        <f>IF(C52="",NA(),MATCH($B52&amp;$C52,'Smelter Look-up'!$J:$J,0))</f>
        <v>#N/A</v>
      </c>
      <c r="W52" s="276"/>
      <c r="X52" s="276">
        <f t="shared" ca="1" si="7"/>
        <v>0</v>
      </c>
      <c r="Y52" s="276"/>
      <c r="Z52" s="276"/>
      <c r="AB52" s="278" t="str">
        <f t="shared" si="8"/>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6"/>
        <v/>
      </c>
      <c r="T53" s="225" t="str">
        <f ca="1">IF(B53="","",IF(ISERROR(MATCH($J53,SorP!$B$1:$B$6230,0)),"",INDIRECT("'SorP'!$A$"&amp;MATCH($J53,SorP!$B$1:$B$6230,0))))</f>
        <v/>
      </c>
      <c r="U53" s="241"/>
      <c r="V53" s="275" t="e">
        <f>IF(C53="",NA(),MATCH($B53&amp;$C53,'Smelter Look-up'!$J:$J,0))</f>
        <v>#N/A</v>
      </c>
      <c r="W53" s="276"/>
      <c r="X53" s="276">
        <f t="shared" ca="1" si="7"/>
        <v>0</v>
      </c>
      <c r="Y53" s="276"/>
      <c r="Z53" s="276"/>
      <c r="AB53" s="278" t="str">
        <f t="shared" si="8"/>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6"/>
        <v/>
      </c>
      <c r="T54" s="225" t="str">
        <f ca="1">IF(B54="","",IF(ISERROR(MATCH($J54,SorP!$B$1:$B$6230,0)),"",INDIRECT("'SorP'!$A$"&amp;MATCH($J54,SorP!$B$1:$B$6230,0))))</f>
        <v/>
      </c>
      <c r="U54" s="241"/>
      <c r="V54" s="275" t="e">
        <f>IF(C54="",NA(),MATCH($B54&amp;$C54,'Smelter Look-up'!$J:$J,0))</f>
        <v>#N/A</v>
      </c>
      <c r="W54" s="276"/>
      <c r="X54" s="276">
        <f t="shared" ca="1" si="7"/>
        <v>0</v>
      </c>
      <c r="Y54" s="276"/>
      <c r="Z54" s="276"/>
      <c r="AB54" s="278" t="str">
        <f t="shared" si="8"/>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6"/>
        <v/>
      </c>
      <c r="T55" s="225" t="str">
        <f ca="1">IF(B55="","",IF(ISERROR(MATCH($J55,SorP!$B$1:$B$6230,0)),"",INDIRECT("'SorP'!$A$"&amp;MATCH($J55,SorP!$B$1:$B$6230,0))))</f>
        <v/>
      </c>
      <c r="U55" s="241"/>
      <c r="V55" s="275" t="e">
        <f>IF(C55="",NA(),MATCH($B55&amp;$C55,'Smelter Look-up'!$J:$J,0))</f>
        <v>#N/A</v>
      </c>
      <c r="W55" s="276"/>
      <c r="X55" s="276">
        <f t="shared" ca="1" si="7"/>
        <v>0</v>
      </c>
      <c r="Y55" s="276"/>
      <c r="Z55" s="276"/>
      <c r="AB55" s="278" t="str">
        <f t="shared" si="8"/>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6"/>
        <v/>
      </c>
      <c r="T56" s="225" t="str">
        <f ca="1">IF(B56="","",IF(ISERROR(MATCH($J56,SorP!$B$1:$B$6230,0)),"",INDIRECT("'SorP'!$A$"&amp;MATCH($J56,SorP!$B$1:$B$6230,0))))</f>
        <v/>
      </c>
      <c r="U56" s="241"/>
      <c r="V56" s="275" t="e">
        <f>IF(C56="",NA(),MATCH($B56&amp;$C56,'Smelter Look-up'!$J:$J,0))</f>
        <v>#N/A</v>
      </c>
      <c r="W56" s="276"/>
      <c r="X56" s="276">
        <f t="shared" ca="1" si="7"/>
        <v>0</v>
      </c>
      <c r="Y56" s="276"/>
      <c r="Z56" s="276"/>
      <c r="AB56" s="278" t="str">
        <f t="shared" si="8"/>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6"/>
        <v/>
      </c>
      <c r="T57" s="225" t="str">
        <f ca="1">IF(B57="","",IF(ISERROR(MATCH($J57,SorP!$B$1:$B$6230,0)),"",INDIRECT("'SorP'!$A$"&amp;MATCH($J57,SorP!$B$1:$B$6230,0))))</f>
        <v/>
      </c>
      <c r="U57" s="241"/>
      <c r="V57" s="275" t="e">
        <f>IF(C57="",NA(),MATCH($B57&amp;$C57,'Smelter Look-up'!$J:$J,0))</f>
        <v>#N/A</v>
      </c>
      <c r="W57" s="276"/>
      <c r="X57" s="276">
        <f t="shared" ca="1" si="7"/>
        <v>0</v>
      </c>
      <c r="Y57" s="276"/>
      <c r="Z57" s="276"/>
      <c r="AB57" s="278" t="str">
        <f t="shared" si="8"/>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6"/>
        <v/>
      </c>
      <c r="T58" s="225" t="str">
        <f ca="1">IF(B58="","",IF(ISERROR(MATCH($J58,SorP!$B$1:$B$6230,0)),"",INDIRECT("'SorP'!$A$"&amp;MATCH($J58,SorP!$B$1:$B$6230,0))))</f>
        <v/>
      </c>
      <c r="U58" s="241"/>
      <c r="V58" s="275" t="e">
        <f>IF(C58="",NA(),MATCH($B58&amp;$C58,'Smelter Look-up'!$J:$J,0))</f>
        <v>#N/A</v>
      </c>
      <c r="W58" s="276"/>
      <c r="X58" s="276">
        <f t="shared" ca="1" si="7"/>
        <v>0</v>
      </c>
      <c r="Y58" s="276"/>
      <c r="Z58" s="276"/>
      <c r="AB58" s="278" t="str">
        <f t="shared" si="8"/>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6"/>
        <v/>
      </c>
      <c r="T59" s="225" t="str">
        <f ca="1">IF(B59="","",IF(ISERROR(MATCH($J59,SorP!$B$1:$B$6230,0)),"",INDIRECT("'SorP'!$A$"&amp;MATCH($J59,SorP!$B$1:$B$6230,0))))</f>
        <v/>
      </c>
      <c r="U59" s="241"/>
      <c r="V59" s="275" t="e">
        <f>IF(C59="",NA(),MATCH($B59&amp;$C59,'Smelter Look-up'!$J:$J,0))</f>
        <v>#N/A</v>
      </c>
      <c r="W59" s="276"/>
      <c r="X59" s="276">
        <f t="shared" ca="1" si="7"/>
        <v>0</v>
      </c>
      <c r="Y59" s="276"/>
      <c r="Z59" s="276"/>
      <c r="AB59" s="278" t="str">
        <f t="shared" si="8"/>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6"/>
        <v/>
      </c>
      <c r="T60" s="225" t="str">
        <f ca="1">IF(B60="","",IF(ISERROR(MATCH($J60,SorP!$B$1:$B$6230,0)),"",INDIRECT("'SorP'!$A$"&amp;MATCH($J60,SorP!$B$1:$B$6230,0))))</f>
        <v/>
      </c>
      <c r="U60" s="241"/>
      <c r="V60" s="275" t="e">
        <f>IF(C60="",NA(),MATCH($B60&amp;$C60,'Smelter Look-up'!$J:$J,0))</f>
        <v>#N/A</v>
      </c>
      <c r="W60" s="276"/>
      <c r="X60" s="276">
        <f t="shared" ca="1" si="7"/>
        <v>0</v>
      </c>
      <c r="Y60" s="276"/>
      <c r="Z60" s="276"/>
      <c r="AB60" s="278" t="str">
        <f t="shared" si="8"/>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6"/>
        <v/>
      </c>
      <c r="T61" s="225" t="str">
        <f ca="1">IF(B61="","",IF(ISERROR(MATCH($J61,SorP!$B$1:$B$6230,0)),"",INDIRECT("'SorP'!$A$"&amp;MATCH($J61,SorP!$B$1:$B$6230,0))))</f>
        <v/>
      </c>
      <c r="U61" s="241"/>
      <c r="V61" s="275" t="e">
        <f>IF(C61="",NA(),MATCH($B61&amp;$C61,'Smelter Look-up'!$J:$J,0))</f>
        <v>#N/A</v>
      </c>
      <c r="W61" s="276"/>
      <c r="X61" s="276">
        <f t="shared" ca="1" si="7"/>
        <v>0</v>
      </c>
      <c r="Y61" s="276"/>
      <c r="Z61" s="276"/>
      <c r="AB61" s="278" t="str">
        <f t="shared" si="8"/>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6"/>
        <v/>
      </c>
      <c r="T62" s="225" t="str">
        <f ca="1">IF(B62="","",IF(ISERROR(MATCH($J62,SorP!$B$1:$B$6230,0)),"",INDIRECT("'SorP'!$A$"&amp;MATCH($J62,SorP!$B$1:$B$6230,0))))</f>
        <v/>
      </c>
      <c r="U62" s="241"/>
      <c r="V62" s="275" t="e">
        <f>IF(C62="",NA(),MATCH($B62&amp;$C62,'Smelter Look-up'!$J:$J,0))</f>
        <v>#N/A</v>
      </c>
      <c r="W62" s="276"/>
      <c r="X62" s="276">
        <f t="shared" ca="1" si="7"/>
        <v>0</v>
      </c>
      <c r="Y62" s="276"/>
      <c r="Z62" s="276"/>
      <c r="AB62" s="278" t="str">
        <f t="shared" si="8"/>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6"/>
        <v/>
      </c>
      <c r="T63" s="225" t="str">
        <f ca="1">IF(B63="","",IF(ISERROR(MATCH($J63,SorP!$B$1:$B$6230,0)),"",INDIRECT("'SorP'!$A$"&amp;MATCH($J63,SorP!$B$1:$B$6230,0))))</f>
        <v/>
      </c>
      <c r="U63" s="241"/>
      <c r="V63" s="275" t="e">
        <f>IF(C63="",NA(),MATCH($B63&amp;$C63,'Smelter Look-up'!$J:$J,0))</f>
        <v>#N/A</v>
      </c>
      <c r="W63" s="276"/>
      <c r="X63" s="276">
        <f t="shared" ca="1" si="7"/>
        <v>0</v>
      </c>
      <c r="Y63" s="276"/>
      <c r="Z63" s="276"/>
      <c r="AB63" s="278" t="str">
        <f t="shared" si="8"/>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6"/>
        <v/>
      </c>
      <c r="T64" s="225" t="str">
        <f ca="1">IF(B64="","",IF(ISERROR(MATCH($J64,SorP!$B$1:$B$6230,0)),"",INDIRECT("'SorP'!$A$"&amp;MATCH($J64,SorP!$B$1:$B$6230,0))))</f>
        <v/>
      </c>
      <c r="U64" s="241"/>
      <c r="V64" s="275" t="e">
        <f>IF(C64="",NA(),MATCH($B64&amp;$C64,'Smelter Look-up'!$J:$J,0))</f>
        <v>#N/A</v>
      </c>
      <c r="W64" s="276"/>
      <c r="X64" s="276">
        <f t="shared" ca="1" si="7"/>
        <v>0</v>
      </c>
      <c r="Y64" s="276"/>
      <c r="Z64" s="276"/>
      <c r="AB64" s="278" t="str">
        <f t="shared" si="8"/>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6"/>
        <v/>
      </c>
      <c r="T65" s="225" t="str">
        <f ca="1">IF(B65="","",IF(ISERROR(MATCH($J65,SorP!$B$1:$B$6230,0)),"",INDIRECT("'SorP'!$A$"&amp;MATCH($J65,SorP!$B$1:$B$6230,0))))</f>
        <v/>
      </c>
      <c r="U65" s="241"/>
      <c r="V65" s="275" t="e">
        <f>IF(C65="",NA(),MATCH($B65&amp;$C65,'Smelter Look-up'!$J:$J,0))</f>
        <v>#N/A</v>
      </c>
      <c r="W65" s="276"/>
      <c r="X65" s="276">
        <f t="shared" ca="1" si="7"/>
        <v>0</v>
      </c>
      <c r="Y65" s="276"/>
      <c r="Z65" s="276"/>
      <c r="AB65" s="278" t="str">
        <f t="shared" si="8"/>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6"/>
        <v/>
      </c>
      <c r="T66" s="225" t="str">
        <f ca="1">IF(B66="","",IF(ISERROR(MATCH($J66,SorP!$B$1:$B$6230,0)),"",INDIRECT("'SorP'!$A$"&amp;MATCH($J66,SorP!$B$1:$B$6230,0))))</f>
        <v/>
      </c>
      <c r="U66" s="241"/>
      <c r="V66" s="275" t="e">
        <f>IF(C66="",NA(),MATCH($B66&amp;$C66,'Smelter Look-up'!$J:$J,0))</f>
        <v>#N/A</v>
      </c>
      <c r="W66" s="276"/>
      <c r="X66" s="276">
        <f t="shared" ca="1" si="7"/>
        <v>0</v>
      </c>
      <c r="Y66" s="276"/>
      <c r="Z66" s="276"/>
      <c r="AB66" s="278" t="str">
        <f t="shared" si="8"/>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6"/>
        <v/>
      </c>
      <c r="T67" s="225" t="str">
        <f ca="1">IF(B67="","",IF(ISERROR(MATCH($J67,SorP!$B$1:$B$6230,0)),"",INDIRECT("'SorP'!$A$"&amp;MATCH($J67,SorP!$B$1:$B$6230,0))))</f>
        <v/>
      </c>
      <c r="U67" s="241"/>
      <c r="V67" s="275" t="e">
        <f>IF(C67="",NA(),MATCH($B67&amp;$C67,'Smelter Look-up'!$J:$J,0))</f>
        <v>#N/A</v>
      </c>
      <c r="W67" s="276"/>
      <c r="X67" s="276">
        <f t="shared" ca="1" si="7"/>
        <v>0</v>
      </c>
      <c r="Y67" s="276"/>
      <c r="Z67" s="276"/>
      <c r="AB67" s="278" t="str">
        <f t="shared" si="8"/>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4" t="str">
        <f ca="1">OFFSET(L!$C$1,MATCH("Checker"&amp;ADDRESS(ROW(),COLUMN(),4),L!$A:$A,0)-1,SL,,)</f>
        <v>To ensure all required fields have been populated before submitting to your customers review form for any line items highlighted in red</v>
      </c>
      <c r="B1" s="444"/>
      <c r="C1" s="444"/>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f ca="1">IF(H70=0,"0",H70)</f>
        <v>52</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f>Declaration!D8</f>
        <v>0</v>
      </c>
      <c r="C4" s="102" t="str">
        <f t="shared" ref="C4" ca="1" si="0">IF(H4=1,J4,I4)</f>
        <v>Provide your company name on the Declaration tab cell D8</v>
      </c>
      <c r="D4" s="108" t="str">
        <f>IF(H4=1,"Click here to enter Company Name","")</f>
        <v>Click here to enter Company Name</v>
      </c>
      <c r="E4" s="84" t="s">
        <v>1330</v>
      </c>
      <c r="F4" s="106">
        <v>1</v>
      </c>
      <c r="G4" s="81">
        <f t="shared" ref="G4" si="1">IF(B4=0,1,0)</f>
        <v>1</v>
      </c>
      <c r="H4" s="82">
        <f>F4*G4</f>
        <v>1</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f>Declaration!D9</f>
        <v>0</v>
      </c>
      <c r="C5" s="102" t="str">
        <f ca="1">IF(H5=1,J5,I5)</f>
        <v>Select the scope of declaration on the Declaration tab cell D9</v>
      </c>
      <c r="D5" s="108" t="str">
        <f>IF(H5=1,"Click here to enter Declaration Scope","")</f>
        <v>Click here to enter Declaration Scope</v>
      </c>
      <c r="E5" s="84" t="s">
        <v>1330</v>
      </c>
      <c r="F5" s="106">
        <v>1</v>
      </c>
      <c r="G5" s="81">
        <f>IF(B5=0,1,0)</f>
        <v>1</v>
      </c>
      <c r="H5" s="82">
        <f t="shared" ref="H5" si="2">F5*G5</f>
        <v>1</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f>Declaration!D15</f>
        <v>0</v>
      </c>
      <c r="C7" s="102" t="str">
        <f ca="1">IF(H7=1,J7,I7)</f>
        <v>Provide contact name in Declaration tab cell D15</v>
      </c>
      <c r="D7" s="108" t="str">
        <f>IF(H7=1,"Click here to enter Contact Name","")</f>
        <v>Click here to enter Contact Name</v>
      </c>
      <c r="E7" s="84" t="s">
        <v>1330</v>
      </c>
      <c r="F7" s="149">
        <v>1</v>
      </c>
      <c r="G7" s="81">
        <f>IF(B7=0,1,0)</f>
        <v>1</v>
      </c>
      <c r="H7" s="82">
        <f t="shared" si="3"/>
        <v>1</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f>Declaration!D16</f>
        <v>0</v>
      </c>
      <c r="C8" s="102" t="str">
        <f ca="1">IF(H8=1,J8,I8)</f>
        <v>Provide a valid email for contact in Declaration tab cell D16</v>
      </c>
      <c r="D8" s="108" t="str">
        <f>IF(H8=1,"Click here to enter Email-Contact","")</f>
        <v>Click here to enter Email-Contact</v>
      </c>
      <c r="E8" s="84" t="s">
        <v>1330</v>
      </c>
      <c r="F8" s="149">
        <v>1</v>
      </c>
      <c r="G8" s="81">
        <f>IF(ISNUMBER(SEARCH("@",B8)),0,1)</f>
        <v>1</v>
      </c>
      <c r="H8" s="82">
        <f t="shared" si="3"/>
        <v>1</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f>Declaration!D17</f>
        <v>0</v>
      </c>
      <c r="C9" s="102" t="str">
        <f ca="1">IF(H9=1,J9,I9)</f>
        <v>Provide a phone number for contact in Declaration tab cell D17</v>
      </c>
      <c r="D9" s="108" t="str">
        <f>IF(H9=1,"Click here to enter Phone-Contact","")</f>
        <v>Click here to enter Phone-Contact</v>
      </c>
      <c r="E9" s="84" t="s">
        <v>1330</v>
      </c>
      <c r="F9" s="149">
        <v>1</v>
      </c>
      <c r="G9" s="81">
        <f>IF(B9=0,1,0)</f>
        <v>1</v>
      </c>
      <c r="H9" s="82">
        <f t="shared" si="3"/>
        <v>1</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f>Declaration!D18</f>
        <v>0</v>
      </c>
      <c r="C10" s="102" t="str">
        <f t="shared" ref="C10" ca="1" si="4">IF(H10=1,J10,I10)</f>
        <v>Provide authorized company representative contact name in Declaration tab cell D18</v>
      </c>
      <c r="D10" s="108" t="str">
        <f>IF(H10=1,"Click here to enter an Authorized Company Representative's name","")</f>
        <v>Click here to enter an Authorized Company Representative's name</v>
      </c>
      <c r="E10" s="84" t="s">
        <v>1330</v>
      </c>
      <c r="F10" s="106">
        <v>1</v>
      </c>
      <c r="G10" s="81">
        <f t="shared" ref="G10" si="5">IF(B10=0,1,0)</f>
        <v>1</v>
      </c>
      <c r="H10" s="82">
        <f t="shared" si="3"/>
        <v>1</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f>Declaration!D20</f>
        <v>0</v>
      </c>
      <c r="C11" s="102" t="str">
        <f ca="1">IF(H11=1,J11,I11)</f>
        <v>Provide an email for authorized company representative on Declaration tab cell D20</v>
      </c>
      <c r="D11" s="108" t="str">
        <f>IF(H11=1,"Click here to enter Representative's email","")</f>
        <v>Click here to enter Representative's email</v>
      </c>
      <c r="E11" s="84" t="s">
        <v>1330</v>
      </c>
      <c r="F11" s="106">
        <v>1</v>
      </c>
      <c r="G11" s="81">
        <f>IF(ISNUMBER(SEARCH("@",B11)),0,1)</f>
        <v>1</v>
      </c>
      <c r="H11" s="82">
        <f t="shared" si="3"/>
        <v>1</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0</v>
      </c>
      <c r="C12" s="102" t="str">
        <f ca="1">IF(H12=1,J12,I12)</f>
        <v>Provide date the form was completed on Declaration tab cell D22</v>
      </c>
      <c r="D12" s="108" t="str">
        <f>IF(H12=1,"Click here to enter Date of Completion","")</f>
        <v>Click here to enter Date of Completion</v>
      </c>
      <c r="E12" s="84" t="s">
        <v>1330</v>
      </c>
      <c r="F12" s="106">
        <v>1</v>
      </c>
      <c r="G12" s="81">
        <f>IF(B12=0,1,0)</f>
        <v>1</v>
      </c>
      <c r="H12" s="82">
        <f t="shared" si="3"/>
        <v>1</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f>Declaration!D26</f>
        <v>0</v>
      </c>
      <c r="C14" s="102" t="str">
        <f ca="1">IF(H14=1,J14,I14)</f>
        <v>Declare if Tantalum is intentionally added to your products on Declaration tab cell D26</v>
      </c>
      <c r="D14" s="108" t="str">
        <f>IF(H14=1,"Click here to answer question 1 for Tantalum","")</f>
        <v>Click here to answer question 1 for Tantalum</v>
      </c>
      <c r="E14" s="84" t="s">
        <v>827</v>
      </c>
      <c r="F14" s="106">
        <v>1</v>
      </c>
      <c r="G14" s="81">
        <f>IF(B14=0,1,0)</f>
        <v>1</v>
      </c>
      <c r="H14" s="82">
        <f t="shared" si="3"/>
        <v>1</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f>Declaration!D27</f>
        <v>0</v>
      </c>
      <c r="C15" s="102" t="str">
        <f ca="1">IF(H15=1,J15,I15)</f>
        <v>Declare if Tin is intentionally added to your products on Declaration tab cell D27</v>
      </c>
      <c r="D15" s="108" t="str">
        <f>IF(H15=1,"Click here to answer question 1 for Tin","")</f>
        <v>Click here to answer question 1 for Tin</v>
      </c>
      <c r="E15" s="84" t="s">
        <v>828</v>
      </c>
      <c r="F15" s="106">
        <v>1</v>
      </c>
      <c r="G15" s="81">
        <f>IF(B15=0,1,0)</f>
        <v>1</v>
      </c>
      <c r="H15" s="82">
        <f t="shared" si="3"/>
        <v>1</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f>Declaration!D28</f>
        <v>0</v>
      </c>
      <c r="C16" s="102" t="str">
        <f ca="1">IF(H16=1,J16,I16)</f>
        <v>Declare if Gold is intentionally added to your products on Declaration tab cell D28</v>
      </c>
      <c r="D16" s="108" t="str">
        <f>IF(H16=1,"Click here to answer question 1 for Gold","")</f>
        <v>Click here to answer question 1 for Gold</v>
      </c>
      <c r="E16" s="84" t="s">
        <v>828</v>
      </c>
      <c r="F16" s="106">
        <v>1</v>
      </c>
      <c r="G16" s="81">
        <f>IF(B16=0,1,0)</f>
        <v>1</v>
      </c>
      <c r="H16" s="82">
        <f t="shared" si="3"/>
        <v>1</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f>Declaration!D29</f>
        <v>0</v>
      </c>
      <c r="C17" s="102" t="str">
        <f ca="1">IF(H17=1,J17,I17)</f>
        <v>Declare if Tungsten is intentionally added to your products on Declaration tab cell D29</v>
      </c>
      <c r="D17" s="108" t="str">
        <f>IF(H17=1,"Click here to answer question 1 for Tungsten","")</f>
        <v>Click here to answer question 1 for Tungsten</v>
      </c>
      <c r="E17" s="84" t="s">
        <v>828</v>
      </c>
      <c r="F17" s="106">
        <v>1</v>
      </c>
      <c r="G17" s="81">
        <f>IF(B17=0,1,0)</f>
        <v>1</v>
      </c>
      <c r="H17" s="82">
        <f t="shared" si="3"/>
        <v>1</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f>IF($B$14="Yes",Declaration!D32,0)</f>
        <v>0</v>
      </c>
      <c r="C19" s="102" t="str">
        <f ca="1">IF(H19=1,J19,I19)</f>
        <v>Declare if Tantalum is necessary to the production of your products and contained within the finished products declared in Declaration tab cell D32</v>
      </c>
      <c r="D19" s="110" t="str">
        <f>IF(H19=1,"Click here to answer question 2 for Tantalum","")</f>
        <v>Click here to answer question 2 for Tantalum</v>
      </c>
      <c r="E19" s="84" t="s">
        <v>828</v>
      </c>
      <c r="F19" s="107">
        <f>IF(B$14="No",0,1)</f>
        <v>1</v>
      </c>
      <c r="G19" s="81">
        <f>IF(B19=0,1,0)</f>
        <v>1</v>
      </c>
      <c r="H19" s="82">
        <f>F19*G19</f>
        <v>1</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f>IF($B$15="Yes",Declaration!D33,0)</f>
        <v>0</v>
      </c>
      <c r="C20" s="102" t="str">
        <f ca="1">IF(H20=1,J20,I20)</f>
        <v>Declare if Tin is necessary to the production of your products and contained within the finished products declared in Declaration tab cell D33</v>
      </c>
      <c r="D20" s="110" t="str">
        <f>IF(H20=1,"Click here to answer question 2 for Tin","")</f>
        <v>Click here to answer question 2 for Tin</v>
      </c>
      <c r="E20" s="84" t="s">
        <v>828</v>
      </c>
      <c r="F20" s="107">
        <f>IF(B$15="No",0,1)</f>
        <v>1</v>
      </c>
      <c r="G20" s="81">
        <f>IF(B20=0,1,0)</f>
        <v>1</v>
      </c>
      <c r="H20" s="82">
        <f>F20*G20</f>
        <v>1</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f>IF($B$16="Yes",Declaration!D34,0)</f>
        <v>0</v>
      </c>
      <c r="C21" s="102" t="str">
        <f ca="1">IF(H21=1,J21,I21)</f>
        <v>Declare if Gold is necessary to the production of your products and contained within the finished products declared in Declaration tab cell D34</v>
      </c>
      <c r="D21" s="110" t="str">
        <f>IF(H21=1,"Click here to answer question 2 for Gold","")</f>
        <v>Click here to answer question 2 for Gold</v>
      </c>
      <c r="E21" s="84" t="s">
        <v>828</v>
      </c>
      <c r="F21" s="107">
        <f>IF(B$16="No",0,1)</f>
        <v>1</v>
      </c>
      <c r="G21" s="81">
        <f>IF(B21=0,1,0)</f>
        <v>1</v>
      </c>
      <c r="H21" s="82">
        <f>F21*G21</f>
        <v>1</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f>IF($B$17="Yes",Declaration!D35,0)</f>
        <v>0</v>
      </c>
      <c r="C22" s="102" t="str">
        <f ca="1">IF(H22=1,J22,I22)</f>
        <v>Declare if Tungsten is necessary to the production of your products and contained within the finished products declared in Declaration tab cell D35</v>
      </c>
      <c r="D22" s="110" t="str">
        <f>IF(H22=1,"Click here to answer question 2 for Tungsten","")</f>
        <v>Click here to answer question 2 for Tungsten</v>
      </c>
      <c r="E22" s="84" t="s">
        <v>828</v>
      </c>
      <c r="F22" s="107">
        <f>IF(B$17="No",0,1)</f>
        <v>1</v>
      </c>
      <c r="G22" s="81">
        <f>IF(B22=0,1,0)</f>
        <v>1</v>
      </c>
      <c r="H22" s="82">
        <f>F22*G22</f>
        <v>1</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f>IF(AND($B$14="Yes",$B$19="Yes"),Declaration!D38,0)</f>
        <v>0</v>
      </c>
      <c r="C24" s="102" t="str">
        <f ca="1">IF(H24=1,J24,I24)</f>
        <v>Declare if Tantalum used within the scope of products declared within this survey response originated from the DRC or an adjoining Country on the Declaration tab cell D38</v>
      </c>
      <c r="D24" s="110" t="str">
        <f>IF(H24=1,"Click here to answer question 3 for Tantalum","")</f>
        <v>Click here to answer question 3 for Tantalum</v>
      </c>
      <c r="E24" s="84" t="s">
        <v>828</v>
      </c>
      <c r="F24" s="107">
        <f>IF(OR(B14="No",B19="No"),0,1)</f>
        <v>1</v>
      </c>
      <c r="G24" s="81">
        <f t="shared" ref="G24" si="6">IF(B24=0,1,0)</f>
        <v>1</v>
      </c>
      <c r="H24" s="82">
        <f t="shared" ref="H24" si="7">F24*G24</f>
        <v>1</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f>IF(AND($B$15="Yes",$B$20="Yes"),Declaration!D39,0)</f>
        <v>0</v>
      </c>
      <c r="C25" s="102" t="str">
        <f ca="1">IF(H25=1,J25,I25)</f>
        <v>Declare if Tin used within the scope of products declared within this survey response originated from the DRC or an adjoining Country on the Declaration tab cell D39</v>
      </c>
      <c r="D25" s="110" t="str">
        <f>IF(H25=1,"Click here to answer question 3 for Tin","")</f>
        <v>Click here to answer question 3 for Tin</v>
      </c>
      <c r="E25" s="84" t="s">
        <v>828</v>
      </c>
      <c r="F25" s="107">
        <f>IF(OR(B15="No",B20="No"),0,1)</f>
        <v>1</v>
      </c>
      <c r="G25" s="81">
        <f>IF(B25=0,1,0)</f>
        <v>1</v>
      </c>
      <c r="H25" s="82">
        <f>F25*G25</f>
        <v>1</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f>IF(AND($B$16="Yes",$B$21="Yes"),Declaration!D40,0)</f>
        <v>0</v>
      </c>
      <c r="C26" s="102" t="str">
        <f ca="1">IF(H26=1,J26,I26)</f>
        <v>Declare if Gold used within the scope of products declared within this survey response originated from the DRC or an adjoining Country on the Declaration tab cell D40</v>
      </c>
      <c r="D26" s="110" t="str">
        <f>IF(H26=1,"Click here to answer question 3 for Gold","")</f>
        <v>Click here to answer question 3 for Gold</v>
      </c>
      <c r="E26" s="84" t="s">
        <v>828</v>
      </c>
      <c r="F26" s="107">
        <f>IF(OR(B16="No",B21="No"),0,1)</f>
        <v>1</v>
      </c>
      <c r="G26" s="81">
        <f>IF(B26=0,1,0)</f>
        <v>1</v>
      </c>
      <c r="H26" s="82">
        <f>F26*G26</f>
        <v>1</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f>IF(AND($B$17="Yes",$B$22="Yes"),Declaration!D41,0)</f>
        <v>0</v>
      </c>
      <c r="C27" s="102" t="str">
        <f ca="1">IF(H27=1,J27,I27)</f>
        <v>Declare if Tungsten used within the scope of products declared within this survey response originated from the DRC or an adjoining Country on the Declaration tab cell D41</v>
      </c>
      <c r="D27" s="110" t="str">
        <f>IF(H27=1,"Click here to answer question 3 for Tungsten","")</f>
        <v>Click here to answer question 3 for Tungsten</v>
      </c>
      <c r="E27" s="84" t="s">
        <v>828</v>
      </c>
      <c r="F27" s="107">
        <f>IF(OR(B17="No",B22="No"),0,1)</f>
        <v>1</v>
      </c>
      <c r="G27" s="81">
        <f>IF(B27=0,1,0)</f>
        <v>1</v>
      </c>
      <c r="H27" s="82">
        <f>F27*G27</f>
        <v>1</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f>IF(AND($B$14="Yes",$B$19="Yes"),Declaration!D44,0)</f>
        <v>0</v>
      </c>
      <c r="C29" s="102" t="str">
        <f ca="1">IF(H29=1,J29,I29)</f>
        <v>Declare if Tantalum used within the scope of products declared within this survey response originated from a conflict-affected and high-risk area on the Declaration tab cell D44</v>
      </c>
      <c r="D29" s="330" t="str">
        <f>IF(H29=1,"Click here to answer question 4 for Tantalum","")</f>
        <v>Click here to answer question 4 for Tantalum</v>
      </c>
      <c r="E29" s="84"/>
      <c r="F29" s="107">
        <f>F24</f>
        <v>1</v>
      </c>
      <c r="G29" s="81">
        <f t="shared" ref="G29" si="8">IF(B29=0,1,0)</f>
        <v>1</v>
      </c>
      <c r="H29" s="82">
        <f t="shared" ref="H29" si="9">F29*G29</f>
        <v>1</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f>IF(AND($B$15="Yes",$B$20="Yes"),Declaration!D45,0)</f>
        <v>0</v>
      </c>
      <c r="C30" s="102" t="str">
        <f ca="1">IF(H30=1,J30,I30)</f>
        <v>Declare if Tin used within the scope of products declared within this survey response originated from a conflict-affected and high-risk area on the Declaration tab cell D45</v>
      </c>
      <c r="D30" s="330" t="str">
        <f>IF(H30=1,"Click here to answer question 4 for Tin","")</f>
        <v>Click here to answer question 4 for Tin</v>
      </c>
      <c r="E30" s="84"/>
      <c r="F30" s="107">
        <f>F25</f>
        <v>1</v>
      </c>
      <c r="G30" s="81">
        <f>IF(B30=0,1,0)</f>
        <v>1</v>
      </c>
      <c r="H30" s="82">
        <f>F30*G30</f>
        <v>1</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f>IF(AND($B$16="Yes",$B$21="Yes"),Declaration!D46,0)</f>
        <v>0</v>
      </c>
      <c r="C31" s="102" t="str">
        <f ca="1">IF(H31=1,J31,I31)</f>
        <v>Declare if Gold used within the scope of products declared within this survey response originated from a conflict-affected and high-risk area on the Declaration tab cell D46</v>
      </c>
      <c r="D31" s="330" t="str">
        <f>IF(H31=1,"Click here to answer question 4 for Gold","")</f>
        <v>Click here to answer question 4 for Gold</v>
      </c>
      <c r="E31" s="84"/>
      <c r="F31" s="107">
        <f>F26</f>
        <v>1</v>
      </c>
      <c r="G31" s="81">
        <f>IF(B31=0,1,0)</f>
        <v>1</v>
      </c>
      <c r="H31" s="82">
        <f>F31*G31</f>
        <v>1</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f>IF(AND($B$17="Yes",$B$22="Yes"),Declaration!D47,0)</f>
        <v>0</v>
      </c>
      <c r="C32" s="102" t="str">
        <f ca="1">IF(H32=1,J32,I32)</f>
        <v>Declare if Tungsten used within the scope of products declared within this survey response originated from a conflict-affected and high-risk area on the Declaration tab cell D47</v>
      </c>
      <c r="D32" s="330" t="str">
        <f>IF(H32=1,"Click here to answer question 4 for Tungsten","")</f>
        <v>Click here to answer question 4 for Tungsten</v>
      </c>
      <c r="E32" s="84"/>
      <c r="F32" s="107">
        <f>F27</f>
        <v>1</v>
      </c>
      <c r="G32" s="81">
        <f>IF(B32=0,1,0)</f>
        <v>1</v>
      </c>
      <c r="H32" s="82">
        <f>F32*G32</f>
        <v>1</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51">
      <c r="A34" s="103" t="str">
        <f ca="1">Declaration!B50</f>
        <v>Tantalum  (*)</v>
      </c>
      <c r="B34" s="102">
        <f>IF(AND($B$14="Yes",$B$19="Yes"),Declaration!D50,0)</f>
        <v>0</v>
      </c>
      <c r="C34" s="102" t="str">
        <f ca="1">IF(H34=1,J34,I34)</f>
        <v>Declare if Tantalum used within the scope of products declared within this survey response originated entirely from a recycled or scrap source on the Declaration tab cell D44</v>
      </c>
      <c r="D34" s="330" t="str">
        <f>IF(H34=1,"Click here to answer question 5 for Tantalum","")</f>
        <v>Click here to answer question 5 for Tantalum</v>
      </c>
      <c r="E34" s="84" t="s">
        <v>1330</v>
      </c>
      <c r="F34" s="107">
        <f>F24</f>
        <v>1</v>
      </c>
      <c r="G34" s="81">
        <f>IF(B34=0,1,0)</f>
        <v>1</v>
      </c>
      <c r="H34" s="82">
        <f>F34*G34</f>
        <v>1</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f>IF(AND($B$15="Yes",$B$20="Yes"),Declaration!D51,0)</f>
        <v>0</v>
      </c>
      <c r="C35" s="102" t="str">
        <f ca="1">IF(H35=1,J35,I35)</f>
        <v>Declare if Tin used within the scope of products declared within this survey response originated entirely from a recycled or scrap source on the Declaration tab cell D45</v>
      </c>
      <c r="D35" s="330" t="str">
        <f>IF(H35=1,"Click here to answer question 5 for Tin","")</f>
        <v>Click here to answer question 5 for Tin</v>
      </c>
      <c r="E35" s="84" t="s">
        <v>1330</v>
      </c>
      <c r="F35" s="107">
        <f>F25</f>
        <v>1</v>
      </c>
      <c r="G35" s="81">
        <f>IF(B35=0,1,0)</f>
        <v>1</v>
      </c>
      <c r="H35" s="82">
        <f>F35*G35</f>
        <v>1</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f>IF(AND($B$16="Yes",$B$21="Yes"),Declaration!D52,0)</f>
        <v>0</v>
      </c>
      <c r="C36" s="102" t="str">
        <f ca="1">IF(H36=1,J36,I36)</f>
        <v>Declare if Gold used within the scope of products declared within this survey response originated entirely from a recycled or scrap source on the Declaration tab cell D46</v>
      </c>
      <c r="D36" s="330" t="str">
        <f>IF(H36=1,"Click here to answer question 5 for Gold","")</f>
        <v>Click here to answer question 5 for Gold</v>
      </c>
      <c r="E36" s="84" t="s">
        <v>1330</v>
      </c>
      <c r="F36" s="107">
        <f>F26</f>
        <v>1</v>
      </c>
      <c r="G36" s="81">
        <f>IF(B36=0,1,0)</f>
        <v>1</v>
      </c>
      <c r="H36" s="82">
        <f>F36*G36</f>
        <v>1</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Tungsten  (*)</v>
      </c>
      <c r="B37" s="102">
        <f>IF(AND($B$17="Yes",$B$22="Yes"),Declaration!D53,0)</f>
        <v>0</v>
      </c>
      <c r="C37" s="102" t="str">
        <f ca="1">IF(H37=1,J37,I37)</f>
        <v>Declare if Tungsten used within the scope of products declared within this survey response originated entirely from a recycled or scrap source on the Declaration tab cell D47</v>
      </c>
      <c r="D37" s="330" t="str">
        <f>IF(H37=1,"Click here to answer question 5 for Tungsten","")</f>
        <v>Click here to answer question 5 for Tungsten</v>
      </c>
      <c r="E37" s="84" t="s">
        <v>1330</v>
      </c>
      <c r="F37" s="107">
        <f>F27</f>
        <v>1</v>
      </c>
      <c r="G37" s="81">
        <f>IF(B37=0,1,0)</f>
        <v>1</v>
      </c>
      <c r="H37" s="82">
        <f>F37*G37</f>
        <v>1</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0</v>
      </c>
      <c r="C39" s="102" t="str">
        <f ca="1">IF(H39=1,J39,I39)</f>
        <v>Provide % of completeness of supplier's smelter information on Declaration tab cell D50</v>
      </c>
      <c r="D39" s="331" t="str">
        <f>IF(H39=1,"Click here to answer question 6 for Tantalum","")</f>
        <v>Click here to answer question 6 for Tantalum</v>
      </c>
      <c r="E39" s="84" t="s">
        <v>827</v>
      </c>
      <c r="F39" s="107">
        <f>F24</f>
        <v>1</v>
      </c>
      <c r="G39" s="81">
        <f>IF(B39=0,1,0)</f>
        <v>1</v>
      </c>
      <c r="H39" s="82">
        <f>F39*G39</f>
        <v>1</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0</v>
      </c>
      <c r="C40" s="102" t="str">
        <f ca="1">IF(H40=1,J40,I40)</f>
        <v>Provide % of completeness of supplier's smelter information on Declaration tab cell D51</v>
      </c>
      <c r="D40" s="331" t="str">
        <f>IF(H40=1,"Click here to answer question 6 for Tin","")</f>
        <v>Click here to answer question 6 for Tin</v>
      </c>
      <c r="E40" s="84" t="s">
        <v>827</v>
      </c>
      <c r="F40" s="107">
        <f>F25</f>
        <v>1</v>
      </c>
      <c r="G40" s="81">
        <f>IF(B40=0,1,0)</f>
        <v>1</v>
      </c>
      <c r="H40" s="82">
        <f>F40*G40</f>
        <v>1</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0</v>
      </c>
      <c r="C41" s="102" t="str">
        <f ca="1">IF(H41=1,J41,I41)</f>
        <v>Provide % of completeness of supplier's smelter information on Declaration tab cell D52</v>
      </c>
      <c r="D41" s="331" t="str">
        <f>IF(H41=1,"Click here to answer question 6 for Gold","")</f>
        <v>Click here to answer question 6 for Gold</v>
      </c>
      <c r="E41" s="84" t="s">
        <v>827</v>
      </c>
      <c r="F41" s="107">
        <f>F26</f>
        <v>1</v>
      </c>
      <c r="G41" s="81">
        <f>IF(B41=0,1,0)</f>
        <v>1</v>
      </c>
      <c r="H41" s="82">
        <f>F41*G41</f>
        <v>1</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0</v>
      </c>
      <c r="C42" s="102" t="str">
        <f ca="1">IF(H42=1,J42,I42)</f>
        <v>Provide % of completeness of supplier's smelter information on Declaration tab cell D53</v>
      </c>
      <c r="D42" s="331" t="str">
        <f>IF(H42=1,"Click here to answer question 6 for Tungsten","")</f>
        <v>Click here to answer question 6 for Tungsten</v>
      </c>
      <c r="E42" s="84" t="s">
        <v>827</v>
      </c>
      <c r="F42" s="107">
        <f>F27</f>
        <v>1</v>
      </c>
      <c r="G42" s="81">
        <f>IF(B42=0,1,0)</f>
        <v>1</v>
      </c>
      <c r="H42" s="82">
        <f>F42*G42</f>
        <v>1</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f>IF(AND($B$14="Yes",$B$19="Yes"),Declaration!D62,0)</f>
        <v>0</v>
      </c>
      <c r="C44" s="102" t="str">
        <f ca="1">IF(H44=1,J44,I44)</f>
        <v>Declare if all smelter names have been provided in this survey response under the scope of products declared on the Declaration tab cell D56</v>
      </c>
      <c r="D44" s="330" t="str">
        <f>IF(H44=1,"Click here to answer question 7 for Tantalum","")</f>
        <v>Click here to answer question 7 for Tantalum</v>
      </c>
      <c r="E44" s="84" t="s">
        <v>1326</v>
      </c>
      <c r="F44" s="107">
        <f>F24</f>
        <v>1</v>
      </c>
      <c r="G44" s="81">
        <f>IF(B44=0,1,0)</f>
        <v>1</v>
      </c>
      <c r="H44" s="82">
        <f>F44*G44</f>
        <v>1</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f>IF(AND($B$15="Yes",$B$20="Yes"),Declaration!D63,0)</f>
        <v>0</v>
      </c>
      <c r="C45" s="102" t="str">
        <f ca="1">IF(H45=1,J45,I45)</f>
        <v>Declare if all smelter names have been provided in this survey response under the scope of products declared on the Declaration tab cell D57</v>
      </c>
      <c r="D45" s="330" t="str">
        <f>IF(H45=1,"Click here to answer question 7 for Tin","")</f>
        <v>Click here to answer question 7 for Tin</v>
      </c>
      <c r="E45" s="84" t="s">
        <v>1326</v>
      </c>
      <c r="F45" s="107">
        <f>F25</f>
        <v>1</v>
      </c>
      <c r="G45" s="81">
        <f>IF(B45=0,1,0)</f>
        <v>1</v>
      </c>
      <c r="H45" s="82">
        <f>F45*G45</f>
        <v>1</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f>IF(AND($B$16="Yes",$B$21="Yes"),Declaration!D64,0)</f>
        <v>0</v>
      </c>
      <c r="C46" s="102" t="str">
        <f ca="1">IF(H46=1,J46,I46)</f>
        <v>Declare if all smelter names have been provided in this survey response under the scope of products declared on the Declaration tab cell D58</v>
      </c>
      <c r="D46" s="330" t="str">
        <f>IF(H46=1,"Click here to answer question 7 for Gold","")</f>
        <v>Click here to answer question 7 for Gold</v>
      </c>
      <c r="E46" s="84" t="s">
        <v>1326</v>
      </c>
      <c r="F46" s="107">
        <f>F26</f>
        <v>1</v>
      </c>
      <c r="G46" s="81">
        <f>IF(B46=0,1,0)</f>
        <v>1</v>
      </c>
      <c r="H46" s="82">
        <f>F46*G46</f>
        <v>1</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f>IF(AND($B$17="Yes",$B$22="Yes"),Declaration!D65,0)</f>
        <v>0</v>
      </c>
      <c r="C47" s="102" t="str">
        <f ca="1">IF(H47=1,J47,I47)</f>
        <v>Declare if all smelter names have been provided in this survey response which the scope of products declared on the Declaration tab cell D59</v>
      </c>
      <c r="D47" s="330" t="str">
        <f>IF(H47=1,"Click here to answer question 7 for Tungsten","")</f>
        <v>Click here to answer question 7 for Tungsten</v>
      </c>
      <c r="E47" s="84" t="s">
        <v>1326</v>
      </c>
      <c r="F47" s="107">
        <f>F27</f>
        <v>1</v>
      </c>
      <c r="G47" s="81">
        <f>IF(B47=0,1,0)</f>
        <v>1</v>
      </c>
      <c r="H47" s="82">
        <f>F47*G47</f>
        <v>1</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f>IF(AND($B$14="Yes",$B$19="Yes"),Declaration!D68,0)</f>
        <v>0</v>
      </c>
      <c r="C49" s="102" t="str">
        <f ca="1">IF(H49=1,J49,I49)</f>
        <v>Declare if all applicable Tantalum smelter information has been provided on Declaration tab cell D62</v>
      </c>
      <c r="D49" s="331" t="str">
        <f>IF(H49=1,"Click here to answer question 8 for Tantalum","")</f>
        <v>Click here to answer question 8 for Tantalum</v>
      </c>
      <c r="E49" s="84" t="s">
        <v>828</v>
      </c>
      <c r="F49" s="107">
        <f>F24</f>
        <v>1</v>
      </c>
      <c r="G49" s="81">
        <f>IF(B49=0,1,0)</f>
        <v>1</v>
      </c>
      <c r="H49" s="82">
        <f>F49*G49</f>
        <v>1</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f>IF(AND($B$15="Yes",$B$20="Yes"),Declaration!D69,0)</f>
        <v>0</v>
      </c>
      <c r="C50" s="102" t="str">
        <f ca="1">IF(H50=1,J50,I50)</f>
        <v>Declare if all applicable Tin smelter information has been provided on Declaration tab cell D63</v>
      </c>
      <c r="D50" s="331" t="str">
        <f>IF(H50=1,"Click here to answer question 8 for Tin","")</f>
        <v>Click here to answer question 8 for Tin</v>
      </c>
      <c r="E50" s="84" t="s">
        <v>828</v>
      </c>
      <c r="F50" s="107">
        <f>F25</f>
        <v>1</v>
      </c>
      <c r="G50" s="81">
        <f>IF(B50=0,1,0)</f>
        <v>1</v>
      </c>
      <c r="H50" s="82">
        <f>F50*G50</f>
        <v>1</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f>IF(AND($B$16="Yes",$B$21="Yes"),Declaration!D70,0)</f>
        <v>0</v>
      </c>
      <c r="C51" s="102" t="str">
        <f ca="1">IF(H51=1,J51,I51)</f>
        <v>Declare if all applicable Gold smelter information has been provided on Declaration tab cell D64</v>
      </c>
      <c r="D51" s="331" t="str">
        <f>IF(H51=1,"Click here to answer question 8 for Gold","")</f>
        <v>Click here to answer question 8 for Gold</v>
      </c>
      <c r="E51" s="84" t="s">
        <v>828</v>
      </c>
      <c r="F51" s="107">
        <f>F26</f>
        <v>1</v>
      </c>
      <c r="G51" s="81">
        <f>IF(B51=0,1,0)</f>
        <v>1</v>
      </c>
      <c r="H51" s="82">
        <f>F51*G51</f>
        <v>1</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f>IF(AND($B$17="Yes",$B$22="Yes"),Declaration!D71,0)</f>
        <v>0</v>
      </c>
      <c r="C52" s="102" t="str">
        <f ca="1">IF(H52=1,J52,I52)</f>
        <v>Declare if all applicable Tungsten smelter information has been provided on Declaration tab cell D65</v>
      </c>
      <c r="D52" s="331" t="str">
        <f>IF(H52=1,"Click here to answer question 8 for Tungsten","")</f>
        <v>Click here to answer question 8 for Tungsten</v>
      </c>
      <c r="E52" s="84" t="s">
        <v>828</v>
      </c>
      <c r="F52" s="107">
        <f>F27</f>
        <v>1</v>
      </c>
      <c r="G52" s="81">
        <f>IF(B52=0,1,0)</f>
        <v>1</v>
      </c>
      <c r="H52" s="82">
        <f>F52*G52</f>
        <v>1</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f>Declaration!D75</f>
        <v>0</v>
      </c>
      <c r="C54" s="102" t="str">
        <f t="shared" ref="C54:C60" ca="1" si="10">IF(H54=1,J54,I54)</f>
        <v>Answer if your company has a responsible minerals sourcing policy on the Declaration tab cell D75</v>
      </c>
      <c r="D54" s="108" t="str">
        <f>IF(H54=1,"Click here to answer question (A)","")</f>
        <v>Click here to answer question (A)</v>
      </c>
      <c r="E54" s="84" t="s">
        <v>1330</v>
      </c>
      <c r="F54" s="107">
        <f>IF(SUM(F$24:F$27)=0,0,1)</f>
        <v>1</v>
      </c>
      <c r="G54" s="81">
        <f>IF(B54=0,1,0)</f>
        <v>1</v>
      </c>
      <c r="H54" s="82">
        <f t="shared" ref="H54:H60" si="11">F54*G54</f>
        <v>1</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f>Declaration!D77</f>
        <v>0</v>
      </c>
      <c r="C55" s="102" t="str">
        <f t="shared" ca="1" si="10"/>
        <v>Answer if your company has made your responsible minerals sourcing policy publically available on your website on the Declaration tab cell D77</v>
      </c>
      <c r="D55" s="108" t="str">
        <f>IF(H55=1,"Click here to answer question (B)","")</f>
        <v>Click here to answer question (B)</v>
      </c>
      <c r="E55" s="84" t="s">
        <v>1330</v>
      </c>
      <c r="F55" s="107">
        <f t="shared" ref="F55" si="12">F$54</f>
        <v>1</v>
      </c>
      <c r="G55" s="81">
        <f>IF(B55=0,1,0)</f>
        <v>1</v>
      </c>
      <c r="H55" s="82">
        <f t="shared" si="11"/>
        <v>1</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f>Declaration!D79</f>
        <v>0</v>
      </c>
      <c r="C57" s="102" t="str">
        <f t="shared" ca="1" si="10"/>
        <v>Answer if you require your direct suppliers to source from smelters whose due diligence practices have been validated by an independent third-party audit program, like the Responsible Minerals Assurance Process, on Declaration tab cell D79</v>
      </c>
      <c r="D57" s="108" t="str">
        <f>IF(H57=1,"Click here to answer question (C)","")</f>
        <v>Click here to answer question (C)</v>
      </c>
      <c r="E57" s="84" t="s">
        <v>1330</v>
      </c>
      <c r="F57" s="107">
        <f>F$54</f>
        <v>1</v>
      </c>
      <c r="G57" s="81">
        <f>IF(B57=0,1,0)</f>
        <v>1</v>
      </c>
      <c r="H57" s="82">
        <f t="shared" si="11"/>
        <v>1</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f>Declaration!D81</f>
        <v>0</v>
      </c>
      <c r="C58" s="102" t="str">
        <f t="shared" ca="1" si="10"/>
        <v>Answer if you have implemented due diligence measures for responsible sourcing on Declaration tab cell D81</v>
      </c>
      <c r="D58" s="108" t="str">
        <f>IF(H58=1,"Click here to answer question (D)","")</f>
        <v>Click here to answer question (D)</v>
      </c>
      <c r="E58" s="84" t="s">
        <v>1330</v>
      </c>
      <c r="F58" s="107">
        <f>F$54</f>
        <v>1</v>
      </c>
      <c r="G58" s="81">
        <f>IF(B58=0,1,0)</f>
        <v>1</v>
      </c>
      <c r="H58" s="82">
        <f t="shared" si="11"/>
        <v>1</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f>Declaration!D83</f>
        <v>0</v>
      </c>
      <c r="C59" s="102" t="str">
        <f t="shared" ca="1" si="10"/>
        <v>Answer if you request your suppliers to fill out this Conflict Minerals Reporting Template on Declaration tab cell D83</v>
      </c>
      <c r="D59" s="108" t="str">
        <f>IF(H59=1,"Click here to answer question (E)","")</f>
        <v>Click here to answer question (E)</v>
      </c>
      <c r="E59" s="84" t="s">
        <v>1330</v>
      </c>
      <c r="F59" s="107">
        <f>F$54</f>
        <v>1</v>
      </c>
      <c r="G59" s="81">
        <f>IF(B59=0,1,0)</f>
        <v>1</v>
      </c>
      <c r="H59" s="82">
        <f t="shared" si="11"/>
        <v>1</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f>Declaration!D85</f>
        <v>0</v>
      </c>
      <c r="C60" s="102" t="str">
        <f t="shared" ca="1" si="10"/>
        <v>Answer if you verify responses from your suppliers against your company's expectations on Declaration tab cell D85</v>
      </c>
      <c r="D60" s="108" t="str">
        <f>IF(H60=1,"Click here to answer question (F)","")</f>
        <v>Click here to answer question (F)</v>
      </c>
      <c r="E60" s="84" t="s">
        <v>1330</v>
      </c>
      <c r="F60" s="107">
        <f>F$54</f>
        <v>1</v>
      </c>
      <c r="G60" s="81">
        <f>IF(B60=0,1,0)</f>
        <v>1</v>
      </c>
      <c r="H60" s="82">
        <f t="shared" si="11"/>
        <v>1</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f>Declaration!D87</f>
        <v>0</v>
      </c>
      <c r="C62" s="102" t="str">
        <f t="shared" ref="C62:C68" ca="1" si="13">IF(H62=1,J62,I62)</f>
        <v>Answer if your verification process includes corrective action management on Declaration tab cell D87</v>
      </c>
      <c r="D62" s="108" t="str">
        <f>IF(H62=1,"Click here to answer question (G)","")</f>
        <v>Click here to answer question (G)</v>
      </c>
      <c r="E62" s="84" t="s">
        <v>1330</v>
      </c>
      <c r="F62" s="107">
        <f>F$54</f>
        <v>1</v>
      </c>
      <c r="G62" s="81">
        <f>IF(B62=0,1,0)</f>
        <v>1</v>
      </c>
      <c r="H62" s="82">
        <f t="shared" ref="H62:H69" si="14">F62*G62</f>
        <v>1</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f>Declaration!D89</f>
        <v>0</v>
      </c>
      <c r="C63" s="102" t="str">
        <f t="shared" ca="1" si="13"/>
        <v>Answer if you are subject to the SEC Disclosure requirement, the EU regulation or both on Declaration tab cell D89</v>
      </c>
      <c r="D63" s="108" t="str">
        <f>IF(H63=1,"Click here to answer question (H)","")</f>
        <v>Click here to answer question (H)</v>
      </c>
      <c r="E63" s="84" t="s">
        <v>1330</v>
      </c>
      <c r="F63" s="107">
        <f>F$54</f>
        <v>1</v>
      </c>
      <c r="G63" s="81">
        <f>IF(B63=0,1,0)</f>
        <v>1</v>
      </c>
      <c r="H63" s="82">
        <f t="shared" si="14"/>
        <v>1</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Provide list of tantalum smelters contributing material to supply chain on Smelter List tab</v>
      </c>
      <c r="D65" s="108" t="str">
        <f>IF(H65=0,"","Click here to provide smelter information")</f>
        <v>Click here to provide smelter information</v>
      </c>
      <c r="E65" s="84" t="s">
        <v>1330</v>
      </c>
      <c r="F65" s="107">
        <f>F24</f>
        <v>1</v>
      </c>
      <c r="G65" s="81">
        <f>IF(AND(COUNTIF(SmelterIdetifiedForMetal,"Tantalum")&gt;0,COUNTIF('Smelter List'!AB$5:AB$2504,"Tantalum?*")&gt;0),0,1)</f>
        <v>1</v>
      </c>
      <c r="H65" s="82">
        <f t="shared" si="14"/>
        <v>1</v>
      </c>
      <c r="I65" s="179" t="str">
        <f ca="1">OFFSET(L!$C$1,MATCH("Checker"&amp;"Comp",L!$A:$A,0)-1,SL,,)</f>
        <v>Complete</v>
      </c>
      <c r="J65" s="22" t="str">
        <f ca="1">OFFSET(L!$C$1,MATCH("Checker"&amp;ADDRESS(ROW(),COLUMN(),4),L!$A:$A,0)-1,SL,,)</f>
        <v>Provide list of tantalum smelters contributing material to supply chain on Smelter List tab</v>
      </c>
      <c r="K65" s="186">
        <f>IF(H14+H19&gt;0,1,0)</f>
        <v>1</v>
      </c>
      <c r="L65" s="22" t="e">
        <f ca="1">OFFSET(L!$C$1,MATCH("Checker"&amp;ADDRESS(ROW(),COLUMN(),4),L!$A:$A,0)-1,SL,,)</f>
        <v>#N/A</v>
      </c>
    </row>
    <row r="66" spans="1:12" ht="39">
      <c r="A66" s="102" t="s">
        <v>1899</v>
      </c>
      <c r="B66" s="102"/>
      <c r="C66" s="102" t="str">
        <f t="shared" ca="1" si="13"/>
        <v>Provide list of tin smelters contributing material to supply chain on Smelter List tab</v>
      </c>
      <c r="D66" s="108" t="str">
        <f>IF(H66=0,"","Click here to provide smelter information")</f>
        <v>Click here to provide smelter information</v>
      </c>
      <c r="E66" s="84" t="s">
        <v>828</v>
      </c>
      <c r="F66" s="107">
        <f>F25</f>
        <v>1</v>
      </c>
      <c r="G66" s="81">
        <f>IF(AND(COUNTIF(SmelterIdetifiedForMetal,"Tin")&gt;0,COUNTIF('Smelter List'!AB$5:AB$2504,"Tin?*")&gt;0),0,1)</f>
        <v>1</v>
      </c>
      <c r="H66" s="82">
        <f t="shared" si="14"/>
        <v>1</v>
      </c>
      <c r="I66" s="179" t="str">
        <f ca="1">OFFSET(L!$C$1,MATCH("Checker"&amp;"Comp",L!$A:$A,0)-1,SL,,)</f>
        <v>Complete</v>
      </c>
      <c r="J66" s="22" t="str">
        <f ca="1">OFFSET(L!$C$1,MATCH("Checker"&amp;ADDRESS(ROW(),COLUMN(),4),L!$A:$A,0)-1,SL,,)</f>
        <v>Provide list of tin smelters contributing material to supply chain on Smelter List tab</v>
      </c>
      <c r="K66" s="186">
        <f>IF(H15+H20&gt;0,1,0)</f>
        <v>1</v>
      </c>
      <c r="L66" s="22" t="e">
        <f ca="1">OFFSET(L!$C$1,MATCH("Checker"&amp;ADDRESS(ROW(),COLUMN(),4),L!$A:$A,0)-1,SL,,)</f>
        <v>#N/A</v>
      </c>
    </row>
    <row r="67" spans="1:12" ht="39">
      <c r="A67" s="102" t="s">
        <v>1900</v>
      </c>
      <c r="B67" s="102"/>
      <c r="C67" s="102" t="str">
        <f t="shared" ca="1" si="13"/>
        <v>Provide list of gold smelters contributing material to supply chain on Smelter List tab</v>
      </c>
      <c r="D67" s="108" t="str">
        <f>IF(H67=0,"","Click here to provide smelter information")</f>
        <v>Click here to provide smelter information</v>
      </c>
      <c r="E67" s="84" t="s">
        <v>828</v>
      </c>
      <c r="F67" s="107">
        <f>F26</f>
        <v>1</v>
      </c>
      <c r="G67" s="81">
        <f>IF(AND(COUNTIF(SmelterIdetifiedForMetal,"Gold")&gt;0,COUNTIF('Smelter List'!AB$5:AB$2504,"Gold?*")&gt;0),0,1)</f>
        <v>1</v>
      </c>
      <c r="H67" s="82">
        <f t="shared" si="14"/>
        <v>1</v>
      </c>
      <c r="I67" s="179" t="str">
        <f ca="1">OFFSET(L!$C$1,MATCH("Checker"&amp;"Comp",L!$A:$A,0)-1,SL,,)</f>
        <v>Complete</v>
      </c>
      <c r="J67" s="22" t="str">
        <f ca="1">OFFSET(L!$C$1,MATCH("Checker"&amp;ADDRESS(ROW(),COLUMN(),4),L!$A:$A,0)-1,SL,,)</f>
        <v>Provide list of gold smelters contributing material to supply chain on Smelter List tab</v>
      </c>
      <c r="K67" s="186">
        <f>IF(H16+H21&gt;0,1,0)</f>
        <v>1</v>
      </c>
      <c r="L67" s="22" t="e">
        <f ca="1">OFFSET(L!$C$1,MATCH("Checker"&amp;ADDRESS(ROW(),COLUMN(),4),L!$A:$A,0)-1,SL,,)</f>
        <v>#N/A</v>
      </c>
    </row>
    <row r="68" spans="1:12" ht="39">
      <c r="A68" s="102" t="s">
        <v>1901</v>
      </c>
      <c r="B68" s="102"/>
      <c r="C68" s="102" t="str">
        <f t="shared" ca="1" si="13"/>
        <v>Provide list of tungsten smelters contributing material to supply chain on Smelter List tab</v>
      </c>
      <c r="D68" s="108" t="str">
        <f>IF(H68=0,"","Click here to provide smelter information")</f>
        <v>Click here to provide smelter information</v>
      </c>
      <c r="E68" s="84" t="s">
        <v>828</v>
      </c>
      <c r="F68" s="107">
        <f>F27</f>
        <v>1</v>
      </c>
      <c r="G68" s="81">
        <f>IF(AND(COUNTIF(SmelterIdetifiedForMetal,"Tungsten")&gt;0,COUNTIF('Smelter List'!AB$5:AB$2504,"Tungsten?*")&gt;0),0,1)</f>
        <v>1</v>
      </c>
      <c r="H68" s="82">
        <f t="shared" si="14"/>
        <v>1</v>
      </c>
      <c r="I68" s="179" t="str">
        <f ca="1">OFFSET(L!$C$1,MATCH("Checker"&amp;"Comp",L!$A:$A,0)-1,SL,,)</f>
        <v>Complete</v>
      </c>
      <c r="J68" s="22" t="str">
        <f ca="1">OFFSET(L!$C$1,MATCH("Checker"&amp;ADDRESS(ROW(),COLUMN(),4),L!$A:$A,0)-1,SL,,)</f>
        <v>Provide list of tungsten smelters contributing material to supply chain on Smelter List tab</v>
      </c>
      <c r="K68" s="186">
        <f>IF(H17+H22&gt;0,1,0)</f>
        <v>1</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52</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6" t="str">
        <f ca="1">OFFSET(L!$C$1,MATCH("Product List"&amp;ADDRESS(ROW(),COLUMN(),4),L!$A:$A,0)-1,SL,,)</f>
        <v>Completion required only if reporting level "Product (or List of Products)" selected on the 'Declaration' worksheet.</v>
      </c>
      <c r="B1" s="447"/>
      <c r="C1" s="447"/>
      <c r="D1" s="447"/>
      <c r="E1" s="145"/>
    </row>
    <row r="2" spans="1:6">
      <c r="A2" s="29"/>
      <c r="B2" s="147"/>
      <c r="C2" s="147"/>
      <c r="D2"/>
      <c r="E2" s="30"/>
    </row>
    <row r="3" spans="1:6">
      <c r="A3" s="29"/>
      <c r="B3" s="147"/>
      <c r="C3" s="147"/>
      <c r="D3" s="147"/>
      <c r="E3" s="30"/>
    </row>
    <row r="4" spans="1:6" ht="15.75" customHeight="1">
      <c r="A4" s="29"/>
      <c r="B4" s="445" t="s">
        <v>921</v>
      </c>
      <c r="C4" s="445"/>
      <c r="D4" s="445"/>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8" t="str">
        <f ca="1">OFFSET(L!$C$1,MATCH("General"&amp;"Cpy",L!$A:$A,0)-1,SL,,)</f>
        <v>© 2020 Responsible Minerals Initiative. All rights reserved.</v>
      </c>
      <c r="C1001" s="448"/>
      <c r="D1001" s="448"/>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9"/>
      <c r="C1" s="449"/>
      <c r="D1" s="449"/>
      <c r="E1" s="449"/>
      <c r="F1" s="449"/>
      <c r="G1" s="449"/>
    </row>
    <row r="2" spans="1:16">
      <c r="A2" s="450"/>
      <c r="B2" s="450"/>
      <c r="C2" s="450"/>
      <c r="D2" s="450"/>
      <c r="E2" s="450"/>
      <c r="F2" s="450"/>
      <c r="G2" s="450"/>
      <c r="H2" s="450"/>
      <c r="I2" s="450"/>
    </row>
    <row r="3" spans="1:16">
      <c r="A3" s="450"/>
      <c r="B3" s="450"/>
      <c r="C3" s="450"/>
      <c r="D3" s="450"/>
      <c r="E3" s="450"/>
      <c r="F3" s="450"/>
      <c r="G3" s="450"/>
      <c r="H3" s="450"/>
      <c r="I3" s="450"/>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42.75">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Autumn Ahlgren</cp:lastModifiedBy>
  <cp:lastPrinted>2015-04-21T20:47:43Z</cp:lastPrinted>
  <dcterms:created xsi:type="dcterms:W3CDTF">2010-06-21T21:00:23Z</dcterms:created>
  <dcterms:modified xsi:type="dcterms:W3CDTF">2020-12-14T14:19:57Z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